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5\Diciembre\TRIMESTRAL\Diciembre 25\"/>
    </mc:Choice>
  </mc:AlternateContent>
  <bookViews>
    <workbookView xWindow="0" yWindow="0" windowWidth="20490" windowHeight="7365"/>
  </bookViews>
  <sheets>
    <sheet name="Hoja1" sheetId="1" r:id="rId1"/>
  </sheets>
  <externalReferences>
    <externalReference r:id="rId2"/>
  </externalReferences>
  <definedNames>
    <definedName name="_xlnm._FilterDatabase" localSheetId="0" hidden="1">Hoja1!#REF!</definedName>
    <definedName name="_xlnm.Print_Area" localSheetId="0">Hoja1!$C$1:$J$101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56" i="1"/>
  <c r="J57" i="1"/>
  <c r="J38" i="1" l="1"/>
  <c r="J90" i="1"/>
  <c r="J83" i="1"/>
  <c r="J79" i="1"/>
  <c r="J76" i="1"/>
  <c r="J71" i="1"/>
  <c r="J63" i="1"/>
  <c r="J50" i="1"/>
  <c r="J46" i="1"/>
  <c r="J45" i="1" l="1"/>
  <c r="J41" i="1"/>
  <c r="J30" i="1"/>
  <c r="J20" i="1"/>
  <c r="J16" i="1"/>
  <c r="J11" i="1"/>
  <c r="I63" i="1"/>
  <c r="J10" i="1" l="1"/>
  <c r="J9" i="1" s="1"/>
  <c r="I50" i="1"/>
  <c r="J8" i="1" l="1"/>
  <c r="I83" i="1"/>
  <c r="I90" i="1" l="1"/>
  <c r="I71" i="1"/>
  <c r="I79" i="1"/>
  <c r="I76" i="1"/>
  <c r="I46" i="1" l="1"/>
  <c r="I45" i="1" s="1"/>
  <c r="H46" i="1"/>
  <c r="H45" i="1" s="1"/>
  <c r="H50" i="1"/>
  <c r="H63" i="1"/>
  <c r="H71" i="1"/>
  <c r="H76" i="1"/>
  <c r="H79" i="1"/>
  <c r="H83" i="1"/>
  <c r="H91" i="1"/>
  <c r="H93" i="1"/>
  <c r="I41" i="1"/>
  <c r="I30" i="1"/>
  <c r="H90" i="1" l="1"/>
  <c r="I38" i="1"/>
  <c r="I20" i="1"/>
  <c r="I16" i="1"/>
  <c r="I11" i="1"/>
  <c r="I10" i="1" l="1"/>
  <c r="I9" i="1" s="1"/>
  <c r="I8" i="1" s="1"/>
  <c r="H41" i="1" l="1"/>
  <c r="H38" i="1"/>
  <c r="H30" i="1"/>
  <c r="H20" i="1"/>
  <c r="H16" i="1"/>
  <c r="H11" i="1"/>
  <c r="H10" i="1" l="1"/>
  <c r="H9" i="1" s="1"/>
  <c r="D16" i="1"/>
  <c r="G16" i="1"/>
  <c r="H8" i="1" l="1"/>
  <c r="G49" i="1"/>
  <c r="G48" i="1"/>
  <c r="G47" i="1"/>
  <c r="G50" i="1" l="1"/>
  <c r="F16" i="1"/>
  <c r="G46" i="1"/>
  <c r="G63" i="1"/>
  <c r="G76" i="1"/>
  <c r="G79" i="1"/>
  <c r="G83" i="1"/>
  <c r="G90" i="1"/>
  <c r="G71" i="1" l="1"/>
  <c r="G45" i="1"/>
  <c r="G41" i="1"/>
  <c r="G38" i="1"/>
  <c r="G30" i="1"/>
  <c r="G20" i="1"/>
  <c r="G11" i="1"/>
  <c r="F41" i="1"/>
  <c r="G10" i="1" l="1"/>
  <c r="G9" i="1" s="1"/>
  <c r="G8" i="1" s="1"/>
  <c r="F76" i="1"/>
  <c r="F90" i="1"/>
  <c r="F79" i="1"/>
  <c r="F71" i="1"/>
  <c r="F63" i="1"/>
  <c r="F83" i="1"/>
  <c r="F50" i="1"/>
  <c r="F38" i="1" l="1"/>
  <c r="F46" i="1"/>
  <c r="F45" i="1" s="1"/>
  <c r="F30" i="1" l="1"/>
  <c r="F20" i="1"/>
  <c r="F11" i="1"/>
  <c r="E95" i="1"/>
  <c r="E94" i="1"/>
  <c r="E93" i="1"/>
  <c r="E92" i="1"/>
  <c r="E91" i="1"/>
  <c r="E75" i="1"/>
  <c r="E74" i="1"/>
  <c r="E73" i="1"/>
  <c r="E72" i="1"/>
  <c r="E63" i="1"/>
  <c r="E44" i="1"/>
  <c r="E43" i="1"/>
  <c r="E42" i="1"/>
  <c r="D62" i="1"/>
  <c r="D61" i="1"/>
  <c r="D60" i="1"/>
  <c r="D59" i="1"/>
  <c r="D58" i="1"/>
  <c r="D57" i="1"/>
  <c r="D56" i="1"/>
  <c r="D55" i="1"/>
  <c r="D54" i="1"/>
  <c r="D53" i="1"/>
  <c r="D52" i="1"/>
  <c r="D51" i="1"/>
  <c r="D49" i="1"/>
  <c r="D48" i="1"/>
  <c r="D47" i="1"/>
  <c r="D11" i="1"/>
  <c r="F10" i="1" l="1"/>
  <c r="F9" i="1" s="1"/>
  <c r="F8" i="1" s="1"/>
  <c r="E90" i="1"/>
  <c r="E83" i="1"/>
  <c r="E79" i="1"/>
  <c r="E76" i="1"/>
  <c r="E71" i="1"/>
  <c r="E50" i="1"/>
  <c r="D41" i="1"/>
  <c r="E41" i="1"/>
  <c r="E46" i="1"/>
  <c r="E45" i="1" s="1"/>
  <c r="E38" i="1"/>
  <c r="E30" i="1"/>
  <c r="E20" i="1"/>
  <c r="E16" i="1"/>
  <c r="E11" i="1"/>
  <c r="E10" i="1" l="1"/>
  <c r="E9" i="1" s="1"/>
  <c r="E8" i="1" s="1"/>
  <c r="D93" i="1" l="1"/>
  <c r="D91" i="1"/>
  <c r="D95" i="1" l="1"/>
  <c r="D94" i="1"/>
  <c r="D92" i="1"/>
  <c r="D89" i="1"/>
  <c r="D88" i="1"/>
  <c r="D87" i="1"/>
  <c r="D86" i="1"/>
  <c r="D85" i="1"/>
  <c r="D84" i="1"/>
  <c r="D82" i="1"/>
  <c r="D81" i="1"/>
  <c r="D80" i="1"/>
  <c r="D78" i="1"/>
  <c r="D77" i="1"/>
  <c r="D75" i="1"/>
  <c r="D74" i="1"/>
  <c r="D73" i="1"/>
  <c r="D72" i="1"/>
  <c r="D70" i="1"/>
  <c r="D69" i="1"/>
  <c r="D68" i="1"/>
  <c r="D67" i="1"/>
  <c r="D66" i="1"/>
  <c r="D65" i="1"/>
  <c r="D64" i="1"/>
  <c r="B12" i="1" l="1"/>
  <c r="B13" i="1"/>
  <c r="B14" i="1"/>
  <c r="B15" i="1"/>
  <c r="B17" i="1"/>
  <c r="B18" i="1"/>
  <c r="D90" i="1" l="1"/>
  <c r="D83" i="1"/>
  <c r="D79" i="1"/>
  <c r="D76" i="1"/>
  <c r="D71" i="1"/>
  <c r="D63" i="1"/>
  <c r="D50" i="1"/>
  <c r="D46" i="1"/>
  <c r="D38" i="1"/>
  <c r="D30" i="1"/>
  <c r="D20" i="1"/>
  <c r="D45" i="1" l="1"/>
  <c r="D10" i="1"/>
  <c r="D9" i="1" l="1"/>
  <c r="D8" i="1" s="1"/>
</calcChain>
</file>

<file path=xl/sharedStrings.xml><?xml version="1.0" encoding="utf-8"?>
<sst xmlns="http://schemas.openxmlformats.org/spreadsheetml/2006/main" count="108" uniqueCount="104">
  <si>
    <t>República de Panamá</t>
  </si>
  <si>
    <t>CONTRALORÍA GENERAL DE LA REPÚBLICA</t>
  </si>
  <si>
    <t>Instituto Nacional de Estadística y Censo</t>
  </si>
  <si>
    <t>Sector y actividad económica</t>
  </si>
  <si>
    <t>Marzo</t>
  </si>
  <si>
    <t>Junio</t>
  </si>
  <si>
    <t>Septiembre</t>
  </si>
  <si>
    <t xml:space="preserve">Diciembre       </t>
  </si>
  <si>
    <t xml:space="preserve">                         TOTAL</t>
  </si>
  <si>
    <t>Sector interno</t>
  </si>
  <si>
    <t>Sector externo</t>
  </si>
  <si>
    <t>(1)  Se refiere a los bancos oficiales y privados de licencia general.</t>
  </si>
  <si>
    <t>(2)  Incluye sector forestal.</t>
  </si>
  <si>
    <t>Fuente: Superintendencia de Bancos de Panamá.</t>
  </si>
  <si>
    <t>Agricultura (2)</t>
  </si>
  <si>
    <t>Leguminosas</t>
  </si>
  <si>
    <t>Cultivos</t>
  </si>
  <si>
    <t>Granos</t>
  </si>
  <si>
    <t>Frijol</t>
  </si>
  <si>
    <t>Silvicultura</t>
  </si>
  <si>
    <t>Ganadería</t>
  </si>
  <si>
    <t>Bovino</t>
  </si>
  <si>
    <t>Pesca</t>
  </si>
  <si>
    <t>Comercio</t>
  </si>
  <si>
    <t>Al por mayor</t>
  </si>
  <si>
    <t>Zona Libre</t>
  </si>
  <si>
    <t>Resto del país</t>
  </si>
  <si>
    <t>Al  por menor</t>
  </si>
  <si>
    <t>Servicios</t>
  </si>
  <si>
    <t>Industrias</t>
  </si>
  <si>
    <t>ONG</t>
  </si>
  <si>
    <t>Gobierno central</t>
  </si>
  <si>
    <t>Municipios</t>
  </si>
  <si>
    <t>Entidades autónomas.</t>
  </si>
  <si>
    <t>Cooperativas</t>
  </si>
  <si>
    <t>Compañías de seguros</t>
  </si>
  <si>
    <t>Empresas financieras</t>
  </si>
  <si>
    <t>Bancos casa matriz, sucursales</t>
  </si>
  <si>
    <t>Otros bancos</t>
  </si>
  <si>
    <t>Organismos internacionales</t>
  </si>
  <si>
    <t>Consumo personal</t>
  </si>
  <si>
    <t>Financieras</t>
  </si>
  <si>
    <t>Hipotecas</t>
  </si>
  <si>
    <t>Vivienda hipotecaria</t>
  </si>
  <si>
    <t>Hipoteca local comercial</t>
  </si>
  <si>
    <t>Préstamo personal</t>
  </si>
  <si>
    <t>Préstamo personal auto</t>
  </si>
  <si>
    <t>Segunda vivienda hipotecaria</t>
  </si>
  <si>
    <t>Vivienda interino</t>
  </si>
  <si>
    <t>Local comercial interino</t>
  </si>
  <si>
    <t>Infraestructura</t>
  </si>
  <si>
    <t>Otras construcciones</t>
  </si>
  <si>
    <t>Construcción</t>
  </si>
  <si>
    <t>Producción y generación eléctrica</t>
  </si>
  <si>
    <t>Alimentos, bebidas y tabaco</t>
  </si>
  <si>
    <t>Vestidos y zapatos</t>
  </si>
  <si>
    <t>Acero y materiales de construcción</t>
  </si>
  <si>
    <t>Petróleo y derivados</t>
  </si>
  <si>
    <t>Puertos y ferrocarriles</t>
  </si>
  <si>
    <t>Otras industrias manufactureras</t>
  </si>
  <si>
    <t>Turismo</t>
  </si>
  <si>
    <t>Transporte colectivo</t>
  </si>
  <si>
    <t>Transporte colegial</t>
  </si>
  <si>
    <t>Transporte selectivo</t>
  </si>
  <si>
    <t>Industrial y comercial</t>
  </si>
  <si>
    <t>Educación</t>
  </si>
  <si>
    <t>Esparcimiento, bares, casinos, etc.</t>
  </si>
  <si>
    <t>Restaurantes</t>
  </si>
  <si>
    <t>Alquileres y mantenimiento</t>
  </si>
  <si>
    <t>Médicos</t>
  </si>
  <si>
    <t>Otros servicios</t>
  </si>
  <si>
    <t>Comunicaciones</t>
  </si>
  <si>
    <t>Minas y Canteras</t>
  </si>
  <si>
    <t>Acuicultura</t>
  </si>
  <si>
    <t>Minas</t>
  </si>
  <si>
    <t>Canteras</t>
  </si>
  <si>
    <t>Salinas</t>
  </si>
  <si>
    <t>Porcino</t>
  </si>
  <si>
    <t>Avícola</t>
  </si>
  <si>
    <t>Caballar</t>
  </si>
  <si>
    <t>Otros animales</t>
  </si>
  <si>
    <t>Leche fresca</t>
  </si>
  <si>
    <t>Apicultura</t>
  </si>
  <si>
    <t>Arroz</t>
  </si>
  <si>
    <t>Maíz</t>
  </si>
  <si>
    <t>Sorgo</t>
  </si>
  <si>
    <t>Otros granos</t>
  </si>
  <si>
    <t>Otras leguminosas</t>
  </si>
  <si>
    <t>Café</t>
  </si>
  <si>
    <t>Banano</t>
  </si>
  <si>
    <t>Papa</t>
  </si>
  <si>
    <t>Cebolla</t>
  </si>
  <si>
    <t>Tomate</t>
  </si>
  <si>
    <t>Caña</t>
  </si>
  <si>
    <t>Forestal</t>
  </si>
  <si>
    <t>Otros cultivos</t>
  </si>
  <si>
    <t>Soya</t>
  </si>
  <si>
    <t>(P)  Cifras preliminares.</t>
  </si>
  <si>
    <t>NOTA: Debido al redondeo del computador, la suma puede no coincidir.</t>
  </si>
  <si>
    <t>Saldo de los préstamos concedidos por el Sistema Bancario Nacional (1)                                                                                                                 (En millones de balboas)</t>
  </si>
  <si>
    <t>Sector público</t>
  </si>
  <si>
    <t>0    Cuando la cantidad es menor a la mitad de la unidad o fracción decimal adoptada, para la expresión del dato.</t>
  </si>
  <si>
    <t>2025 (P)</t>
  </si>
  <si>
    <t>Cuadro 9. SALDO DE LOS PRÉSTAMOS CONCEDIDOS POR EL SISTEMA BANCARIO NACIONAL, SEGÚN SECTOR Y ACTIVIDAD ECONÓMICA,                                                  AL FINAL DE CADA TRIMESTRE: AÑO 2024 Y PRIMER, SEGUNDO Y TERCER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</si>
</sst>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_ ;_ * \-#,##0_ ;_ * &quot;-&quot;??_ ;_ @_ "/>
    <numFmt numFmtId="166" formatCode="_-* #,##0_-;\-* #,##0_-;_-* &quot;-&quot;??_-;_-@_-"/>
    <numFmt numFmtId="167" formatCode="_ * #,##0.0000_ ;_ * \-#,##0.0000_ ;_ * &quot;-&quot;_ ;_ @_ "/>
    <numFmt numFmtId="168" formatCode="_ * #,##0.00000000_ ;_ * \-#,##0.0000000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3" fillId="0" borderId="0" xfId="0" applyFont="1"/>
    <xf numFmtId="164" fontId="3" fillId="0" borderId="3" xfId="0" applyNumberFormat="1" applyFont="1" applyBorder="1"/>
    <xf numFmtId="0" fontId="2" fillId="0" borderId="0" xfId="0" applyFont="1"/>
    <xf numFmtId="165" fontId="2" fillId="0" borderId="3" xfId="1" applyNumberFormat="1" applyFont="1" applyBorder="1"/>
    <xf numFmtId="164" fontId="2" fillId="0" borderId="3" xfId="1" applyNumberFormat="1" applyFont="1" applyBorder="1"/>
    <xf numFmtId="0" fontId="2" fillId="0" borderId="0" xfId="0" applyFont="1" applyBorder="1"/>
    <xf numFmtId="41" fontId="2" fillId="0" borderId="3" xfId="1" applyNumberFormat="1" applyFont="1" applyBorder="1" applyAlignment="1">
      <alignment horizontal="right"/>
    </xf>
    <xf numFmtId="164" fontId="3" fillId="0" borderId="6" xfId="0" applyNumberFormat="1" applyFont="1" applyBorder="1"/>
    <xf numFmtId="165" fontId="2" fillId="0" borderId="6" xfId="1" applyNumberFormat="1" applyFont="1" applyBorder="1"/>
    <xf numFmtId="41" fontId="2" fillId="0" borderId="6" xfId="1" applyNumberFormat="1" applyFont="1" applyBorder="1" applyAlignment="1">
      <alignment horizontal="right"/>
    </xf>
    <xf numFmtId="164" fontId="2" fillId="0" borderId="6" xfId="1" applyNumberFormat="1" applyFont="1" applyBorder="1"/>
    <xf numFmtId="166" fontId="2" fillId="0" borderId="6" xfId="1" applyNumberFormat="1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left" indent="3"/>
    </xf>
    <xf numFmtId="0" fontId="2" fillId="0" borderId="0" xfId="0" applyFont="1" applyAlignment="1">
      <alignment horizontal="left" indent="5"/>
    </xf>
    <xf numFmtId="0" fontId="2" fillId="0" borderId="0" xfId="0" applyFont="1" applyFill="1" applyAlignment="1">
      <alignment horizontal="left" indent="7"/>
    </xf>
    <xf numFmtId="0" fontId="4" fillId="0" borderId="0" xfId="0" applyFont="1" applyAlignment="1">
      <alignment horizontal="left" indent="5"/>
    </xf>
    <xf numFmtId="0" fontId="2" fillId="0" borderId="0" xfId="0" applyFont="1" applyAlignment="1">
      <alignment horizontal="left" indent="7"/>
    </xf>
    <xf numFmtId="0" fontId="2" fillId="0" borderId="0" xfId="0" applyFont="1" applyAlignment="1">
      <alignment horizontal="left" indent="3"/>
    </xf>
    <xf numFmtId="0" fontId="2" fillId="0" borderId="0" xfId="0" applyFont="1" applyFill="1" applyAlignment="1">
      <alignment horizontal="left" indent="5"/>
    </xf>
    <xf numFmtId="0" fontId="2" fillId="0" borderId="0" xfId="0" applyFont="1" applyFill="1" applyAlignment="1">
      <alignment horizontal="left" indent="3"/>
    </xf>
    <xf numFmtId="0" fontId="2" fillId="0" borderId="1" xfId="0" applyFont="1" applyBorder="1"/>
    <xf numFmtId="166" fontId="2" fillId="0" borderId="3" xfId="1" applyNumberFormat="1" applyFont="1" applyBorder="1"/>
    <xf numFmtId="165" fontId="2" fillId="0" borderId="5" xfId="1" applyNumberFormat="1" applyFont="1" applyBorder="1"/>
    <xf numFmtId="165" fontId="2" fillId="0" borderId="4" xfId="1" applyNumberFormat="1" applyFont="1" applyBorder="1"/>
    <xf numFmtId="165" fontId="4" fillId="0" borderId="3" xfId="1" applyNumberFormat="1" applyFont="1" applyBorder="1"/>
    <xf numFmtId="165" fontId="6" fillId="0" borderId="3" xfId="1" applyNumberFormat="1" applyFont="1" applyBorder="1"/>
    <xf numFmtId="0" fontId="4" fillId="0" borderId="0" xfId="0" applyFont="1" applyFill="1" applyAlignment="1">
      <alignment horizontal="left" indent="5"/>
    </xf>
    <xf numFmtId="41" fontId="2" fillId="0" borderId="2" xfId="1" applyNumberFormat="1" applyFont="1" applyBorder="1" applyAlignment="1">
      <alignment horizontal="right"/>
    </xf>
    <xf numFmtId="164" fontId="3" fillId="0" borderId="0" xfId="0" applyNumberFormat="1" applyFont="1" applyBorder="1"/>
    <xf numFmtId="165" fontId="2" fillId="0" borderId="0" xfId="1" applyNumberFormat="1" applyFont="1" applyBorder="1"/>
    <xf numFmtId="0" fontId="7" fillId="2" borderId="1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7" fillId="2" borderId="11" xfId="0" applyFont="1" applyFill="1" applyBorder="1" applyAlignment="1">
      <alignment horizontal="center" vertical="center" wrapText="1"/>
    </xf>
    <xf numFmtId="166" fontId="4" fillId="0" borderId="0" xfId="0" applyNumberFormat="1" applyFont="1" applyFill="1"/>
    <xf numFmtId="0" fontId="7" fillId="2" borderId="11" xfId="0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165" fontId="4" fillId="0" borderId="1" xfId="1" applyNumberFormat="1" applyFont="1" applyBorder="1"/>
    <xf numFmtId="164" fontId="3" fillId="0" borderId="14" xfId="0" applyNumberFormat="1" applyFont="1" applyBorder="1"/>
    <xf numFmtId="165" fontId="4" fillId="0" borderId="6" xfId="1" applyNumberFormat="1" applyFont="1" applyBorder="1"/>
    <xf numFmtId="165" fontId="4" fillId="0" borderId="5" xfId="1" applyNumberFormat="1" applyFont="1" applyBorder="1"/>
    <xf numFmtId="0" fontId="7" fillId="2" borderId="11" xfId="0" applyFont="1" applyFill="1" applyBorder="1" applyAlignment="1">
      <alignment horizontal="center" vertical="center" wrapText="1"/>
    </xf>
    <xf numFmtId="164" fontId="3" fillId="0" borderId="15" xfId="0" applyNumberFormat="1" applyFont="1" applyBorder="1"/>
    <xf numFmtId="43" fontId="4" fillId="0" borderId="0" xfId="0" applyNumberFormat="1" applyFont="1" applyBorder="1"/>
    <xf numFmtId="0" fontId="7" fillId="2" borderId="13" xfId="0" applyFont="1" applyFill="1" applyBorder="1" applyAlignment="1">
      <alignment horizontal="centerContinuous" vertical="center" wrapText="1"/>
    </xf>
    <xf numFmtId="0" fontId="7" fillId="2" borderId="11" xfId="0" applyFont="1" applyFill="1" applyBorder="1" applyAlignment="1">
      <alignment horizontal="centerContinuous" vertical="center" wrapText="1"/>
    </xf>
    <xf numFmtId="167" fontId="4" fillId="0" borderId="0" xfId="0" applyNumberFormat="1" applyFont="1"/>
    <xf numFmtId="168" fontId="4" fillId="0" borderId="0" xfId="0" applyNumberFormat="1" applyFont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">
          <cell r="A3">
            <v>5</v>
          </cell>
          <cell r="B3" t="str">
            <v>Frijol</v>
          </cell>
          <cell r="C3">
            <v>924326.62</v>
          </cell>
          <cell r="D3">
            <v>5</v>
          </cell>
        </row>
        <row r="4">
          <cell r="B4" t="str">
            <v>Sorgo</v>
          </cell>
          <cell r="C4">
            <v>28364.38</v>
          </cell>
          <cell r="D4">
            <v>3</v>
          </cell>
        </row>
        <row r="5">
          <cell r="B5" t="str">
            <v>Cultivo de arroz</v>
          </cell>
          <cell r="C5">
            <v>154586657.72</v>
          </cell>
          <cell r="D5">
            <v>1</v>
          </cell>
        </row>
        <row r="6">
          <cell r="B6" t="str">
            <v>papa</v>
          </cell>
          <cell r="C6">
            <v>11391565.51</v>
          </cell>
          <cell r="D6">
            <v>10</v>
          </cell>
        </row>
        <row r="7">
          <cell r="B7" t="str">
            <v>cebolla</v>
          </cell>
          <cell r="C7">
            <v>8322048.2999999998</v>
          </cell>
          <cell r="D7">
            <v>11</v>
          </cell>
        </row>
        <row r="8">
          <cell r="B8" t="str">
            <v>Cultivo de caña de azúcar</v>
          </cell>
          <cell r="C8">
            <v>34866629.640000001</v>
          </cell>
          <cell r="D8">
            <v>13</v>
          </cell>
        </row>
        <row r="9">
          <cell r="B9" t="str">
            <v>Cultivo de tabaco</v>
          </cell>
          <cell r="C9">
            <v>852265.43</v>
          </cell>
          <cell r="D9">
            <v>15</v>
          </cell>
        </row>
        <row r="10">
          <cell r="B10" t="str">
            <v>Cultivo de fibras</v>
          </cell>
          <cell r="C10">
            <v>40735</v>
          </cell>
          <cell r="D10">
            <v>15</v>
          </cell>
        </row>
        <row r="11">
          <cell r="B11" t="str">
            <v>Cultivo de maíz</v>
          </cell>
          <cell r="C11">
            <v>34524977.670000002</v>
          </cell>
          <cell r="D11">
            <v>2</v>
          </cell>
        </row>
        <row r="12">
          <cell r="B12" t="str">
            <v>Otros granos</v>
          </cell>
          <cell r="C12">
            <v>9227606.8499999996</v>
          </cell>
          <cell r="D12">
            <v>4</v>
          </cell>
        </row>
        <row r="13">
          <cell r="B13" t="str">
            <v>Otras leguminosas</v>
          </cell>
          <cell r="C13">
            <v>8080334.9000000004</v>
          </cell>
          <cell r="D13">
            <v>7</v>
          </cell>
        </row>
        <row r="14">
          <cell r="B14" t="str">
            <v>Cultivo de productos no perennes</v>
          </cell>
          <cell r="C14">
            <v>262845512.01999998</v>
          </cell>
        </row>
        <row r="15">
          <cell r="B15" t="str">
            <v>Cultivo de frutas tropicales y subtropicales</v>
          </cell>
          <cell r="C15">
            <v>29325097.940000001</v>
          </cell>
          <cell r="D15">
            <v>15</v>
          </cell>
        </row>
        <row r="16">
          <cell r="B16" t="str">
            <v>Cultivo de otras frutas que crecen en árboles y/o arbustos y/o nueces</v>
          </cell>
          <cell r="C16">
            <v>32894095.379999999</v>
          </cell>
          <cell r="D16">
            <v>15</v>
          </cell>
        </row>
        <row r="17">
          <cell r="B17" t="str">
            <v>Cultivo de frutas oleaginosas</v>
          </cell>
          <cell r="C17">
            <v>18914448.169999998</v>
          </cell>
          <cell r="D17">
            <v>15</v>
          </cell>
        </row>
        <row r="18">
          <cell r="B18" t="str">
            <v>café</v>
          </cell>
          <cell r="C18">
            <v>33946133.789999999</v>
          </cell>
          <cell r="D18">
            <v>8</v>
          </cell>
        </row>
        <row r="19">
          <cell r="B19" t="str">
            <v>soya</v>
          </cell>
          <cell r="C19">
            <v>1063750</v>
          </cell>
          <cell r="D19">
            <v>6</v>
          </cell>
        </row>
        <row r="20">
          <cell r="B20" t="str">
            <v>Cultivo de plantas aromáticas, medicinales y especias</v>
          </cell>
          <cell r="C20">
            <v>0</v>
          </cell>
          <cell r="D20">
            <v>15</v>
          </cell>
        </row>
        <row r="21">
          <cell r="B21" t="str">
            <v>Otros cultivos perennes</v>
          </cell>
          <cell r="C21">
            <v>21729371.850000001</v>
          </cell>
          <cell r="D21">
            <v>15</v>
          </cell>
        </row>
        <row r="22">
          <cell r="B22" t="str">
            <v>Cultivo de productos perennes</v>
          </cell>
          <cell r="C22">
            <v>137872897.13</v>
          </cell>
        </row>
        <row r="23">
          <cell r="B23" t="str">
            <v>Propagación de plantas</v>
          </cell>
          <cell r="C23">
            <v>6937135.5099999998</v>
          </cell>
          <cell r="D23">
            <v>15</v>
          </cell>
        </row>
        <row r="24">
          <cell r="B24" t="str">
            <v>Propagación de plantas</v>
          </cell>
          <cell r="C24">
            <v>6937135.5099999998</v>
          </cell>
        </row>
        <row r="25">
          <cell r="B25" t="str">
            <v>Cría de ganado vacuno y búfalos</v>
          </cell>
          <cell r="C25">
            <v>837918274.82000005</v>
          </cell>
          <cell r="D25">
            <v>17</v>
          </cell>
        </row>
        <row r="26">
          <cell r="B26" t="str">
            <v>Cría de caballos y otros equinos</v>
          </cell>
          <cell r="C26">
            <v>11227.91</v>
          </cell>
          <cell r="D26">
            <v>20</v>
          </cell>
        </row>
        <row r="27">
          <cell r="B27" t="str">
            <v>Cría de ovejas y cabras</v>
          </cell>
          <cell r="C27">
            <v>4128195.3</v>
          </cell>
          <cell r="D27">
            <v>21</v>
          </cell>
        </row>
        <row r="28">
          <cell r="B28" t="str">
            <v>Cría de cerdos / puercos</v>
          </cell>
          <cell r="C28">
            <v>77421354.140000001</v>
          </cell>
          <cell r="D28">
            <v>18</v>
          </cell>
        </row>
        <row r="29">
          <cell r="B29" t="str">
            <v>Cría de aves de corral y obtención de subproductos</v>
          </cell>
          <cell r="C29">
            <v>172700712.84</v>
          </cell>
          <cell r="D29">
            <v>19</v>
          </cell>
        </row>
        <row r="30">
          <cell r="B30" t="str">
            <v>Apicultura (creada)</v>
          </cell>
          <cell r="C30">
            <v>1008357.09</v>
          </cell>
          <cell r="D30">
            <v>23</v>
          </cell>
        </row>
        <row r="31">
          <cell r="B31" t="str">
            <v>Ganadería</v>
          </cell>
          <cell r="C31">
            <v>1093188122.0999999</v>
          </cell>
        </row>
        <row r="32">
          <cell r="B32" t="str">
            <v>arroz</v>
          </cell>
          <cell r="C32">
            <v>5963623.6399999997</v>
          </cell>
          <cell r="D32">
            <v>1</v>
          </cell>
        </row>
        <row r="33">
          <cell r="B33" t="str">
            <v>Maíz</v>
          </cell>
          <cell r="C33">
            <v>1069608.28</v>
          </cell>
          <cell r="D33">
            <v>2</v>
          </cell>
        </row>
        <row r="34">
          <cell r="B34" t="str">
            <v>otros granos</v>
          </cell>
          <cell r="C34">
            <v>2121802.88</v>
          </cell>
          <cell r="D34">
            <v>4</v>
          </cell>
        </row>
        <row r="35">
          <cell r="B35" t="str">
            <v>soya</v>
          </cell>
          <cell r="C35">
            <v>99226.1</v>
          </cell>
          <cell r="D35">
            <v>6</v>
          </cell>
        </row>
        <row r="36">
          <cell r="B36" t="str">
            <v>Frijol</v>
          </cell>
          <cell r="C36">
            <v>36000</v>
          </cell>
          <cell r="D36">
            <v>5</v>
          </cell>
        </row>
        <row r="37">
          <cell r="B37" t="str">
            <v>Otras leguminosas</v>
          </cell>
          <cell r="C37">
            <v>39141.21</v>
          </cell>
          <cell r="D37">
            <v>7</v>
          </cell>
        </row>
        <row r="38">
          <cell r="B38" t="str">
            <v>caña</v>
          </cell>
          <cell r="C38">
            <v>6918676.2599999998</v>
          </cell>
          <cell r="D38">
            <v>13</v>
          </cell>
        </row>
        <row r="39">
          <cell r="B39" t="str">
            <v>café</v>
          </cell>
          <cell r="C39">
            <v>638384.89</v>
          </cell>
          <cell r="D39">
            <v>8</v>
          </cell>
        </row>
        <row r="40">
          <cell r="B40" t="str">
            <v>papa</v>
          </cell>
          <cell r="C40">
            <v>294679.5</v>
          </cell>
          <cell r="D40">
            <v>10</v>
          </cell>
        </row>
        <row r="41">
          <cell r="B41" t="str">
            <v>cebolla</v>
          </cell>
          <cell r="C41">
            <v>140000</v>
          </cell>
          <cell r="D41">
            <v>11</v>
          </cell>
        </row>
        <row r="42">
          <cell r="B42" t="str">
            <v>tomate</v>
          </cell>
          <cell r="C42">
            <v>4528943.4400000004</v>
          </cell>
          <cell r="D42">
            <v>12</v>
          </cell>
        </row>
        <row r="43">
          <cell r="B43" t="str">
            <v>banano</v>
          </cell>
          <cell r="C43">
            <v>420000</v>
          </cell>
          <cell r="D43">
            <v>9</v>
          </cell>
        </row>
        <row r="44">
          <cell r="B44" t="str">
            <v>otros cultivos</v>
          </cell>
          <cell r="C44">
            <v>46424468.920000002</v>
          </cell>
          <cell r="D44">
            <v>15</v>
          </cell>
        </row>
        <row r="45">
          <cell r="B45" t="str">
            <v>bovino</v>
          </cell>
          <cell r="C45">
            <v>145861604.59</v>
          </cell>
          <cell r="D45">
            <v>17</v>
          </cell>
        </row>
        <row r="46">
          <cell r="B46" t="str">
            <v>porcino</v>
          </cell>
          <cell r="C46">
            <v>7143516.7400000002</v>
          </cell>
          <cell r="D46">
            <v>18</v>
          </cell>
        </row>
        <row r="47">
          <cell r="B47" t="str">
            <v>avicultura</v>
          </cell>
          <cell r="C47">
            <v>40051841.620000005</v>
          </cell>
          <cell r="D47">
            <v>19</v>
          </cell>
        </row>
        <row r="48">
          <cell r="B48" t="str">
            <v>caballar</v>
          </cell>
          <cell r="C48">
            <v>0</v>
          </cell>
        </row>
        <row r="49">
          <cell r="B49" t="str">
            <v>apicultura</v>
          </cell>
          <cell r="C49">
            <v>356189.98</v>
          </cell>
          <cell r="D49">
            <v>23</v>
          </cell>
        </row>
        <row r="50">
          <cell r="B50" t="str">
            <v>otros animales</v>
          </cell>
          <cell r="C50">
            <v>14855167.830000002</v>
          </cell>
          <cell r="D50">
            <v>21</v>
          </cell>
        </row>
        <row r="51">
          <cell r="B51" t="str">
            <v>pesca</v>
          </cell>
          <cell r="C51">
            <v>23602145.07</v>
          </cell>
          <cell r="D51">
            <v>24</v>
          </cell>
        </row>
        <row r="52">
          <cell r="B52" t="str">
            <v>acuicultura</v>
          </cell>
          <cell r="C52">
            <v>31982996.129999999</v>
          </cell>
          <cell r="D52">
            <v>25</v>
          </cell>
        </row>
        <row r="53">
          <cell r="B53" t="str">
            <v>Explotación mixta</v>
          </cell>
          <cell r="C53">
            <v>332548017.07999998</v>
          </cell>
        </row>
        <row r="54">
          <cell r="B54" t="str">
            <v>Actividades de apoyo a los cultivos y posteriores a la cosecha</v>
          </cell>
          <cell r="C54">
            <v>14374004.930000002</v>
          </cell>
          <cell r="D54">
            <v>15</v>
          </cell>
        </row>
        <row r="55">
          <cell r="B55" t="str">
            <v>Actividades de apoyo a la ganadería</v>
          </cell>
          <cell r="C55">
            <v>23582436.439999998</v>
          </cell>
          <cell r="D55">
            <v>17</v>
          </cell>
        </row>
        <row r="56">
          <cell r="B56" t="str">
            <v>Procesamiento de semillas para la propagación</v>
          </cell>
          <cell r="C56">
            <v>0</v>
          </cell>
          <cell r="D56">
            <v>15</v>
          </cell>
        </row>
        <row r="57">
          <cell r="B57" t="str">
            <v>Actividades de apoyo a la agricultura, ganadería y actividades posteriores a la cosecha</v>
          </cell>
          <cell r="C57">
            <v>37956441.369999997</v>
          </cell>
        </row>
        <row r="58">
          <cell r="B58" t="str">
            <v>Silvicultura y otras actividades relacionadas a la silvicultura</v>
          </cell>
          <cell r="C58">
            <v>1819311.91</v>
          </cell>
          <cell r="D58">
            <v>16</v>
          </cell>
        </row>
        <row r="59">
          <cell r="B59" t="str">
            <v>Silvicultura y otras actividades relacionadas a la silvicultura</v>
          </cell>
          <cell r="C59">
            <v>1819311.91</v>
          </cell>
        </row>
        <row r="60">
          <cell r="B60" t="str">
            <v>Extracción de madera</v>
          </cell>
          <cell r="C60">
            <v>692511.81</v>
          </cell>
          <cell r="D60">
            <v>14</v>
          </cell>
        </row>
        <row r="61">
          <cell r="B61" t="str">
            <v>Extracción de madera</v>
          </cell>
          <cell r="C61">
            <v>692511.81</v>
          </cell>
        </row>
        <row r="62">
          <cell r="B62" t="str">
            <v>Recolección de productos forestales diferentes a la madera</v>
          </cell>
          <cell r="C62">
            <v>197705.41</v>
          </cell>
          <cell r="D62">
            <v>14</v>
          </cell>
        </row>
        <row r="63">
          <cell r="B63" t="str">
            <v>Recolección de productos forestales diferentes a la madera</v>
          </cell>
          <cell r="C63">
            <v>197705.41</v>
          </cell>
        </row>
        <row r="64">
          <cell r="B64" t="str">
            <v>Servicios de apoyo a la silvicultura</v>
          </cell>
          <cell r="C64">
            <v>974.04</v>
          </cell>
          <cell r="D64">
            <v>16</v>
          </cell>
        </row>
        <row r="65">
          <cell r="B65" t="str">
            <v>Servicios de apoyo a la silvicultura</v>
          </cell>
          <cell r="C65">
            <v>974.04</v>
          </cell>
        </row>
        <row r="66">
          <cell r="B66" t="str">
            <v>Pesca marítima oceánicas o costeras</v>
          </cell>
          <cell r="C66">
            <v>33906223.359999999</v>
          </cell>
          <cell r="D66">
            <v>24</v>
          </cell>
        </row>
        <row r="67">
          <cell r="B67" t="str">
            <v>Pesca de aguas dulce</v>
          </cell>
          <cell r="C67">
            <v>1163.3</v>
          </cell>
          <cell r="D67">
            <v>24</v>
          </cell>
        </row>
        <row r="68">
          <cell r="B68" t="str">
            <v>Pesca</v>
          </cell>
          <cell r="C68">
            <v>33907386.660000004</v>
          </cell>
        </row>
        <row r="69">
          <cell r="B69" t="str">
            <v>Acuicultura marítima</v>
          </cell>
          <cell r="C69">
            <v>20427395.190000001</v>
          </cell>
          <cell r="D69">
            <v>25</v>
          </cell>
        </row>
        <row r="70">
          <cell r="B70" t="str">
            <v>Acuicultura de agua dulce</v>
          </cell>
          <cell r="C70">
            <v>16950909.440000001</v>
          </cell>
          <cell r="D70">
            <v>25</v>
          </cell>
        </row>
        <row r="71">
          <cell r="B71" t="str">
            <v>Acuicultura</v>
          </cell>
          <cell r="C71">
            <v>37378304.629999995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showGridLines="0" tabSelected="1" topLeftCell="C1" zoomScaleNormal="100" workbookViewId="0">
      <selection activeCell="C4" sqref="C4:J4"/>
    </sheetView>
  </sheetViews>
  <sheetFormatPr baseColWidth="10" defaultRowHeight="12.75" x14ac:dyDescent="0.2"/>
  <cols>
    <col min="1" max="1" width="3.5703125" style="13" hidden="1" customWidth="1"/>
    <col min="2" max="2" width="3.42578125" style="13" hidden="1" customWidth="1"/>
    <col min="3" max="3" width="43.85546875" style="13" customWidth="1"/>
    <col min="4" max="8" width="13.7109375" style="13" customWidth="1"/>
    <col min="9" max="10" width="13.7109375" style="34" customWidth="1"/>
    <col min="11" max="11" width="27.5703125" style="13" customWidth="1"/>
    <col min="12" max="12" width="11.42578125" style="13"/>
    <col min="13" max="13" width="12.28515625" style="13" bestFit="1" customWidth="1"/>
    <col min="14" max="243" width="11.42578125" style="13"/>
    <col min="244" max="244" width="42.7109375" style="13" customWidth="1"/>
    <col min="245" max="251" width="13.140625" style="13" customWidth="1"/>
    <col min="252" max="499" width="11.42578125" style="13"/>
    <col min="500" max="500" width="42.7109375" style="13" customWidth="1"/>
    <col min="501" max="507" width="13.140625" style="13" customWidth="1"/>
    <col min="508" max="755" width="11.42578125" style="13"/>
    <col min="756" max="756" width="42.7109375" style="13" customWidth="1"/>
    <col min="757" max="763" width="13.140625" style="13" customWidth="1"/>
    <col min="764" max="1011" width="11.42578125" style="13"/>
    <col min="1012" max="1012" width="42.7109375" style="13" customWidth="1"/>
    <col min="1013" max="1019" width="13.140625" style="13" customWidth="1"/>
    <col min="1020" max="1267" width="11.42578125" style="13"/>
    <col min="1268" max="1268" width="42.7109375" style="13" customWidth="1"/>
    <col min="1269" max="1275" width="13.140625" style="13" customWidth="1"/>
    <col min="1276" max="1523" width="11.42578125" style="13"/>
    <col min="1524" max="1524" width="42.7109375" style="13" customWidth="1"/>
    <col min="1525" max="1531" width="13.140625" style="13" customWidth="1"/>
    <col min="1532" max="1779" width="11.42578125" style="13"/>
    <col min="1780" max="1780" width="42.7109375" style="13" customWidth="1"/>
    <col min="1781" max="1787" width="13.140625" style="13" customWidth="1"/>
    <col min="1788" max="2035" width="11.42578125" style="13"/>
    <col min="2036" max="2036" width="42.7109375" style="13" customWidth="1"/>
    <col min="2037" max="2043" width="13.140625" style="13" customWidth="1"/>
    <col min="2044" max="2291" width="11.42578125" style="13"/>
    <col min="2292" max="2292" width="42.7109375" style="13" customWidth="1"/>
    <col min="2293" max="2299" width="13.140625" style="13" customWidth="1"/>
    <col min="2300" max="2547" width="11.42578125" style="13"/>
    <col min="2548" max="2548" width="42.7109375" style="13" customWidth="1"/>
    <col min="2549" max="2555" width="13.140625" style="13" customWidth="1"/>
    <col min="2556" max="2803" width="11.42578125" style="13"/>
    <col min="2804" max="2804" width="42.7109375" style="13" customWidth="1"/>
    <col min="2805" max="2811" width="13.140625" style="13" customWidth="1"/>
    <col min="2812" max="3059" width="11.42578125" style="13"/>
    <col min="3060" max="3060" width="42.7109375" style="13" customWidth="1"/>
    <col min="3061" max="3067" width="13.140625" style="13" customWidth="1"/>
    <col min="3068" max="3315" width="11.42578125" style="13"/>
    <col min="3316" max="3316" width="42.7109375" style="13" customWidth="1"/>
    <col min="3317" max="3323" width="13.140625" style="13" customWidth="1"/>
    <col min="3324" max="3571" width="11.42578125" style="13"/>
    <col min="3572" max="3572" width="42.7109375" style="13" customWidth="1"/>
    <col min="3573" max="3579" width="13.140625" style="13" customWidth="1"/>
    <col min="3580" max="3827" width="11.42578125" style="13"/>
    <col min="3828" max="3828" width="42.7109375" style="13" customWidth="1"/>
    <col min="3829" max="3835" width="13.140625" style="13" customWidth="1"/>
    <col min="3836" max="4083" width="11.42578125" style="13"/>
    <col min="4084" max="4084" width="42.7109375" style="13" customWidth="1"/>
    <col min="4085" max="4091" width="13.140625" style="13" customWidth="1"/>
    <col min="4092" max="4339" width="11.42578125" style="13"/>
    <col min="4340" max="4340" width="42.7109375" style="13" customWidth="1"/>
    <col min="4341" max="4347" width="13.140625" style="13" customWidth="1"/>
    <col min="4348" max="4595" width="11.42578125" style="13"/>
    <col min="4596" max="4596" width="42.7109375" style="13" customWidth="1"/>
    <col min="4597" max="4603" width="13.140625" style="13" customWidth="1"/>
    <col min="4604" max="4851" width="11.42578125" style="13"/>
    <col min="4852" max="4852" width="42.7109375" style="13" customWidth="1"/>
    <col min="4853" max="4859" width="13.140625" style="13" customWidth="1"/>
    <col min="4860" max="5107" width="11.42578125" style="13"/>
    <col min="5108" max="5108" width="42.7109375" style="13" customWidth="1"/>
    <col min="5109" max="5115" width="13.140625" style="13" customWidth="1"/>
    <col min="5116" max="5363" width="11.42578125" style="13"/>
    <col min="5364" max="5364" width="42.7109375" style="13" customWidth="1"/>
    <col min="5365" max="5371" width="13.140625" style="13" customWidth="1"/>
    <col min="5372" max="5619" width="11.42578125" style="13"/>
    <col min="5620" max="5620" width="42.7109375" style="13" customWidth="1"/>
    <col min="5621" max="5627" width="13.140625" style="13" customWidth="1"/>
    <col min="5628" max="5875" width="11.42578125" style="13"/>
    <col min="5876" max="5876" width="42.7109375" style="13" customWidth="1"/>
    <col min="5877" max="5883" width="13.140625" style="13" customWidth="1"/>
    <col min="5884" max="6131" width="11.42578125" style="13"/>
    <col min="6132" max="6132" width="42.7109375" style="13" customWidth="1"/>
    <col min="6133" max="6139" width="13.140625" style="13" customWidth="1"/>
    <col min="6140" max="6387" width="11.42578125" style="13"/>
    <col min="6388" max="6388" width="42.7109375" style="13" customWidth="1"/>
    <col min="6389" max="6395" width="13.140625" style="13" customWidth="1"/>
    <col min="6396" max="6643" width="11.42578125" style="13"/>
    <col min="6644" max="6644" width="42.7109375" style="13" customWidth="1"/>
    <col min="6645" max="6651" width="13.140625" style="13" customWidth="1"/>
    <col min="6652" max="6899" width="11.42578125" style="13"/>
    <col min="6900" max="6900" width="42.7109375" style="13" customWidth="1"/>
    <col min="6901" max="6907" width="13.140625" style="13" customWidth="1"/>
    <col min="6908" max="7155" width="11.42578125" style="13"/>
    <col min="7156" max="7156" width="42.7109375" style="13" customWidth="1"/>
    <col min="7157" max="7163" width="13.140625" style="13" customWidth="1"/>
    <col min="7164" max="7411" width="11.42578125" style="13"/>
    <col min="7412" max="7412" width="42.7109375" style="13" customWidth="1"/>
    <col min="7413" max="7419" width="13.140625" style="13" customWidth="1"/>
    <col min="7420" max="7667" width="11.42578125" style="13"/>
    <col min="7668" max="7668" width="42.7109375" style="13" customWidth="1"/>
    <col min="7669" max="7675" width="13.140625" style="13" customWidth="1"/>
    <col min="7676" max="7923" width="11.42578125" style="13"/>
    <col min="7924" max="7924" width="42.7109375" style="13" customWidth="1"/>
    <col min="7925" max="7931" width="13.140625" style="13" customWidth="1"/>
    <col min="7932" max="8179" width="11.42578125" style="13"/>
    <col min="8180" max="8180" width="42.7109375" style="13" customWidth="1"/>
    <col min="8181" max="8187" width="13.140625" style="13" customWidth="1"/>
    <col min="8188" max="8435" width="11.42578125" style="13"/>
    <col min="8436" max="8436" width="42.7109375" style="13" customWidth="1"/>
    <col min="8437" max="8443" width="13.140625" style="13" customWidth="1"/>
    <col min="8444" max="8691" width="11.42578125" style="13"/>
    <col min="8692" max="8692" width="42.7109375" style="13" customWidth="1"/>
    <col min="8693" max="8699" width="13.140625" style="13" customWidth="1"/>
    <col min="8700" max="8947" width="11.42578125" style="13"/>
    <col min="8948" max="8948" width="42.7109375" style="13" customWidth="1"/>
    <col min="8949" max="8955" width="13.140625" style="13" customWidth="1"/>
    <col min="8956" max="9203" width="11.42578125" style="13"/>
    <col min="9204" max="9204" width="42.7109375" style="13" customWidth="1"/>
    <col min="9205" max="9211" width="13.140625" style="13" customWidth="1"/>
    <col min="9212" max="9459" width="11.42578125" style="13"/>
    <col min="9460" max="9460" width="42.7109375" style="13" customWidth="1"/>
    <col min="9461" max="9467" width="13.140625" style="13" customWidth="1"/>
    <col min="9468" max="9715" width="11.42578125" style="13"/>
    <col min="9716" max="9716" width="42.7109375" style="13" customWidth="1"/>
    <col min="9717" max="9723" width="13.140625" style="13" customWidth="1"/>
    <col min="9724" max="9971" width="11.42578125" style="13"/>
    <col min="9972" max="9972" width="42.7109375" style="13" customWidth="1"/>
    <col min="9973" max="9979" width="13.140625" style="13" customWidth="1"/>
    <col min="9980" max="10227" width="11.42578125" style="13"/>
    <col min="10228" max="10228" width="42.7109375" style="13" customWidth="1"/>
    <col min="10229" max="10235" width="13.140625" style="13" customWidth="1"/>
    <col min="10236" max="10483" width="11.42578125" style="13"/>
    <col min="10484" max="10484" width="42.7109375" style="13" customWidth="1"/>
    <col min="10485" max="10491" width="13.140625" style="13" customWidth="1"/>
    <col min="10492" max="10739" width="11.42578125" style="13"/>
    <col min="10740" max="10740" width="42.7109375" style="13" customWidth="1"/>
    <col min="10741" max="10747" width="13.140625" style="13" customWidth="1"/>
    <col min="10748" max="10995" width="11.42578125" style="13"/>
    <col min="10996" max="10996" width="42.7109375" style="13" customWidth="1"/>
    <col min="10997" max="11003" width="13.140625" style="13" customWidth="1"/>
    <col min="11004" max="11251" width="11.42578125" style="13"/>
    <col min="11252" max="11252" width="42.7109375" style="13" customWidth="1"/>
    <col min="11253" max="11259" width="13.140625" style="13" customWidth="1"/>
    <col min="11260" max="11507" width="11.42578125" style="13"/>
    <col min="11508" max="11508" width="42.7109375" style="13" customWidth="1"/>
    <col min="11509" max="11515" width="13.140625" style="13" customWidth="1"/>
    <col min="11516" max="11763" width="11.42578125" style="13"/>
    <col min="11764" max="11764" width="42.7109375" style="13" customWidth="1"/>
    <col min="11765" max="11771" width="13.140625" style="13" customWidth="1"/>
    <col min="11772" max="12019" width="11.42578125" style="13"/>
    <col min="12020" max="12020" width="42.7109375" style="13" customWidth="1"/>
    <col min="12021" max="12027" width="13.140625" style="13" customWidth="1"/>
    <col min="12028" max="12275" width="11.42578125" style="13"/>
    <col min="12276" max="12276" width="42.7109375" style="13" customWidth="1"/>
    <col min="12277" max="12283" width="13.140625" style="13" customWidth="1"/>
    <col min="12284" max="12531" width="11.42578125" style="13"/>
    <col min="12532" max="12532" width="42.7109375" style="13" customWidth="1"/>
    <col min="12533" max="12539" width="13.140625" style="13" customWidth="1"/>
    <col min="12540" max="12787" width="11.42578125" style="13"/>
    <col min="12788" max="12788" width="42.7109375" style="13" customWidth="1"/>
    <col min="12789" max="12795" width="13.140625" style="13" customWidth="1"/>
    <col min="12796" max="13043" width="11.42578125" style="13"/>
    <col min="13044" max="13044" width="42.7109375" style="13" customWidth="1"/>
    <col min="13045" max="13051" width="13.140625" style="13" customWidth="1"/>
    <col min="13052" max="13299" width="11.42578125" style="13"/>
    <col min="13300" max="13300" width="42.7109375" style="13" customWidth="1"/>
    <col min="13301" max="13307" width="13.140625" style="13" customWidth="1"/>
    <col min="13308" max="13555" width="11.42578125" style="13"/>
    <col min="13556" max="13556" width="42.7109375" style="13" customWidth="1"/>
    <col min="13557" max="13563" width="13.140625" style="13" customWidth="1"/>
    <col min="13564" max="13811" width="11.42578125" style="13"/>
    <col min="13812" max="13812" width="42.7109375" style="13" customWidth="1"/>
    <col min="13813" max="13819" width="13.140625" style="13" customWidth="1"/>
    <col min="13820" max="14067" width="11.42578125" style="13"/>
    <col min="14068" max="14068" width="42.7109375" style="13" customWidth="1"/>
    <col min="14069" max="14075" width="13.140625" style="13" customWidth="1"/>
    <col min="14076" max="14323" width="11.42578125" style="13"/>
    <col min="14324" max="14324" width="42.7109375" style="13" customWidth="1"/>
    <col min="14325" max="14331" width="13.140625" style="13" customWidth="1"/>
    <col min="14332" max="14579" width="11.42578125" style="13"/>
    <col min="14580" max="14580" width="42.7109375" style="13" customWidth="1"/>
    <col min="14581" max="14587" width="13.140625" style="13" customWidth="1"/>
    <col min="14588" max="14835" width="11.42578125" style="13"/>
    <col min="14836" max="14836" width="42.7109375" style="13" customWidth="1"/>
    <col min="14837" max="14843" width="13.140625" style="13" customWidth="1"/>
    <col min="14844" max="15091" width="11.42578125" style="13"/>
    <col min="15092" max="15092" width="42.7109375" style="13" customWidth="1"/>
    <col min="15093" max="15099" width="13.140625" style="13" customWidth="1"/>
    <col min="15100" max="15347" width="11.42578125" style="13"/>
    <col min="15348" max="15348" width="42.7109375" style="13" customWidth="1"/>
    <col min="15349" max="15355" width="13.140625" style="13" customWidth="1"/>
    <col min="15356" max="15603" width="11.42578125" style="13"/>
    <col min="15604" max="15604" width="42.7109375" style="13" customWidth="1"/>
    <col min="15605" max="15611" width="13.140625" style="13" customWidth="1"/>
    <col min="15612" max="15859" width="11.42578125" style="13"/>
    <col min="15860" max="15860" width="42.7109375" style="13" customWidth="1"/>
    <col min="15861" max="15867" width="13.140625" style="13" customWidth="1"/>
    <col min="15868" max="16115" width="11.42578125" style="13"/>
    <col min="16116" max="16116" width="42.7109375" style="13" customWidth="1"/>
    <col min="16117" max="16123" width="13.140625" style="13" customWidth="1"/>
    <col min="16124" max="16384" width="11.42578125" style="13"/>
  </cols>
  <sheetData>
    <row r="1" spans="1:13" x14ac:dyDescent="0.2">
      <c r="C1" s="55" t="s">
        <v>0</v>
      </c>
      <c r="D1" s="55"/>
      <c r="E1" s="55"/>
      <c r="F1" s="55"/>
      <c r="G1" s="55"/>
      <c r="H1" s="55"/>
      <c r="I1" s="55"/>
      <c r="J1" s="55"/>
    </row>
    <row r="2" spans="1:13" ht="14.25" customHeight="1" x14ac:dyDescent="0.2">
      <c r="C2" s="56" t="s">
        <v>1</v>
      </c>
      <c r="D2" s="56"/>
      <c r="E2" s="56"/>
      <c r="F2" s="56"/>
      <c r="G2" s="56"/>
      <c r="H2" s="56"/>
      <c r="I2" s="56"/>
      <c r="J2" s="56"/>
    </row>
    <row r="3" spans="1:13" ht="15" customHeight="1" x14ac:dyDescent="0.2">
      <c r="C3" s="55" t="s">
        <v>2</v>
      </c>
      <c r="D3" s="55"/>
      <c r="E3" s="55"/>
      <c r="F3" s="55"/>
      <c r="G3" s="55"/>
      <c r="H3" s="55"/>
      <c r="I3" s="55"/>
      <c r="J3" s="55"/>
    </row>
    <row r="4" spans="1:13" ht="45.75" customHeight="1" x14ac:dyDescent="0.2">
      <c r="C4" s="57" t="s">
        <v>103</v>
      </c>
      <c r="D4" s="57"/>
      <c r="E4" s="57"/>
      <c r="F4" s="57"/>
      <c r="G4" s="57"/>
      <c r="H4" s="57"/>
      <c r="I4" s="57"/>
      <c r="J4" s="57"/>
    </row>
    <row r="5" spans="1:13" ht="30" customHeight="1" x14ac:dyDescent="0.2">
      <c r="C5" s="50" t="s">
        <v>3</v>
      </c>
      <c r="D5" s="52" t="s">
        <v>99</v>
      </c>
      <c r="E5" s="53"/>
      <c r="F5" s="53"/>
      <c r="G5" s="53"/>
      <c r="H5" s="53"/>
      <c r="I5" s="53"/>
      <c r="J5" s="53"/>
    </row>
    <row r="6" spans="1:13" ht="16.5" customHeight="1" x14ac:dyDescent="0.2">
      <c r="C6" s="50"/>
      <c r="D6" s="52">
        <v>2024</v>
      </c>
      <c r="E6" s="53"/>
      <c r="F6" s="53"/>
      <c r="G6" s="54"/>
      <c r="H6" s="46" t="s">
        <v>102</v>
      </c>
      <c r="I6" s="47"/>
      <c r="J6" s="47"/>
    </row>
    <row r="7" spans="1:13" ht="16.5" customHeight="1" x14ac:dyDescent="0.2">
      <c r="C7" s="51"/>
      <c r="D7" s="33" t="s">
        <v>4</v>
      </c>
      <c r="E7" s="35" t="s">
        <v>5</v>
      </c>
      <c r="F7" s="33" t="s">
        <v>6</v>
      </c>
      <c r="G7" s="33" t="s">
        <v>7</v>
      </c>
      <c r="H7" s="33" t="s">
        <v>4</v>
      </c>
      <c r="I7" s="37" t="s">
        <v>5</v>
      </c>
      <c r="J7" s="43" t="s">
        <v>6</v>
      </c>
    </row>
    <row r="8" spans="1:13" ht="21" customHeight="1" x14ac:dyDescent="0.2">
      <c r="C8" s="1" t="s">
        <v>8</v>
      </c>
      <c r="D8" s="2">
        <f t="shared" ref="D8:E8" si="0">D9+D95</f>
        <v>84038.348948169994</v>
      </c>
      <c r="E8" s="8">
        <f t="shared" si="0"/>
        <v>86350.874527220003</v>
      </c>
      <c r="F8" s="8">
        <f t="shared" ref="F8:G8" si="1">F9+F95</f>
        <v>88661.628374259992</v>
      </c>
      <c r="G8" s="2">
        <f t="shared" si="1"/>
        <v>89485.15671281</v>
      </c>
      <c r="H8" s="40">
        <f t="shared" ref="H8:I8" si="2">H9+H95</f>
        <v>90447.639961730019</v>
      </c>
      <c r="I8" s="31">
        <f t="shared" si="2"/>
        <v>92096.006670959992</v>
      </c>
      <c r="J8" s="44">
        <f t="shared" ref="J8" si="3">J9+J95</f>
        <v>92142.515765229997</v>
      </c>
      <c r="K8" s="14"/>
    </row>
    <row r="9" spans="1:13" ht="15" customHeight="1" x14ac:dyDescent="0.2">
      <c r="C9" s="3" t="s">
        <v>9</v>
      </c>
      <c r="D9" s="2">
        <f t="shared" ref="D9:E9" si="4">D10+D30+D38+D41+D45+D50+D63+D70+D71+D76+D79+D83+D94+D90</f>
        <v>61380.438427410001</v>
      </c>
      <c r="E9" s="8">
        <f t="shared" si="4"/>
        <v>62885.163366449997</v>
      </c>
      <c r="F9" s="8">
        <f t="shared" ref="F9:G9" si="5">F10+F30+F38+F41+F45+F50+F63+F70+F71+F76+F79+F83+F94+F90</f>
        <v>63835.790854799998</v>
      </c>
      <c r="G9" s="2">
        <f t="shared" si="5"/>
        <v>63585.549724279997</v>
      </c>
      <c r="H9" s="8">
        <f t="shared" ref="H9:I9" si="6">H10+H30+H38+H41+H45+H50+H63+H70+H71+H76+H79+H83+H94+H90</f>
        <v>64249.861374180015</v>
      </c>
      <c r="I9" s="31">
        <f t="shared" si="6"/>
        <v>64773.589949459994</v>
      </c>
      <c r="J9" s="2">
        <f t="shared" ref="J9" si="7">J10+J30+J38+J41+J45+J50+J63+J70+J71+J76+J79+J83+J94+J90</f>
        <v>64609.716367149995</v>
      </c>
      <c r="K9" s="31"/>
    </row>
    <row r="10" spans="1:13" ht="14.1" customHeight="1" x14ac:dyDescent="0.2">
      <c r="C10" s="15" t="s">
        <v>14</v>
      </c>
      <c r="D10" s="2">
        <f t="shared" ref="D10:E10" si="8">D11+D16+D20+D29</f>
        <v>534.42696389999992</v>
      </c>
      <c r="E10" s="8">
        <f t="shared" si="8"/>
        <v>543.27522374</v>
      </c>
      <c r="F10" s="8">
        <f t="shared" ref="F10:G10" si="9">F11+F16+F20+F29</f>
        <v>550.89845305999995</v>
      </c>
      <c r="G10" s="2">
        <f t="shared" si="9"/>
        <v>588.34767719000001</v>
      </c>
      <c r="H10" s="8">
        <f t="shared" ref="H10:I10" si="10">H11+H16+H20+H29</f>
        <v>593.38767061999988</v>
      </c>
      <c r="I10" s="31">
        <f t="shared" si="10"/>
        <v>602.04979721000007</v>
      </c>
      <c r="J10" s="2">
        <f t="shared" ref="J10" si="11">J11+J16+J20+J29</f>
        <v>590.92715946999999</v>
      </c>
      <c r="K10" s="14"/>
      <c r="M10" s="48"/>
    </row>
    <row r="11" spans="1:13" ht="14.1" customHeight="1" x14ac:dyDescent="0.2">
      <c r="A11" s="13">
        <v>1</v>
      </c>
      <c r="C11" s="16" t="s">
        <v>17</v>
      </c>
      <c r="D11" s="2">
        <f>SUM(D12:D15)</f>
        <v>200.21672095</v>
      </c>
      <c r="E11" s="8">
        <f t="shared" ref="E11:F11" si="12">SUM(E12:E15)</f>
        <v>190.82494678</v>
      </c>
      <c r="F11" s="8">
        <f t="shared" si="12"/>
        <v>188.68360939999997</v>
      </c>
      <c r="G11" s="2">
        <f t="shared" ref="G11:H11" si="13">SUM(G12:G15)</f>
        <v>201.81628496000002</v>
      </c>
      <c r="H11" s="8">
        <f t="shared" si="13"/>
        <v>204.22390440999999</v>
      </c>
      <c r="I11" s="31">
        <f t="shared" ref="I11:J11" si="14">SUM(I12:I15)</f>
        <v>217.28983096000002</v>
      </c>
      <c r="J11" s="2">
        <f t="shared" si="14"/>
        <v>213.25516762999996</v>
      </c>
      <c r="K11" s="14"/>
    </row>
    <row r="12" spans="1:13" ht="12.75" customHeight="1" x14ac:dyDescent="0.25">
      <c r="B12">
        <f>VLOOKUP(C12,[1]Hoja1!B$3:D$71,3,0)</f>
        <v>1</v>
      </c>
      <c r="C12" s="17" t="s">
        <v>83</v>
      </c>
      <c r="D12" s="4">
        <v>155.45689078000001</v>
      </c>
      <c r="E12" s="9">
        <v>148.750576</v>
      </c>
      <c r="F12" s="9">
        <v>150.43659590999999</v>
      </c>
      <c r="G12" s="4">
        <v>160.97949034999999</v>
      </c>
      <c r="H12" s="9">
        <v>165.92756322999998</v>
      </c>
      <c r="I12" s="32">
        <v>170.64431246999999</v>
      </c>
      <c r="J12" s="4">
        <v>165.19599478999999</v>
      </c>
      <c r="K12" s="45"/>
    </row>
    <row r="13" spans="1:13" ht="12.75" customHeight="1" x14ac:dyDescent="0.25">
      <c r="B13">
        <f>VLOOKUP(C13,[1]Hoja1!B$3:D$71,3,0)</f>
        <v>2</v>
      </c>
      <c r="C13" s="17" t="s">
        <v>84</v>
      </c>
      <c r="D13" s="4">
        <v>35.072951529999997</v>
      </c>
      <c r="E13" s="9">
        <v>30.91190126</v>
      </c>
      <c r="F13" s="9">
        <v>28.379498039999998</v>
      </c>
      <c r="G13" s="4">
        <v>31.591105590000002</v>
      </c>
      <c r="H13" s="9">
        <v>29.13340153</v>
      </c>
      <c r="I13" s="32">
        <v>37.356116380000003</v>
      </c>
      <c r="J13" s="4">
        <v>39.087875560000001</v>
      </c>
      <c r="K13" s="14"/>
    </row>
    <row r="14" spans="1:13" ht="12.75" customHeight="1" x14ac:dyDescent="0.25">
      <c r="B14">
        <f>VLOOKUP(C14,[1]Hoja1!B$3:D$71,3,0)</f>
        <v>3</v>
      </c>
      <c r="C14" s="17" t="s">
        <v>85</v>
      </c>
      <c r="D14" s="7">
        <v>2.613586E-2</v>
      </c>
      <c r="E14" s="10">
        <v>3.1572179999999998E-2</v>
      </c>
      <c r="F14" s="9">
        <v>3.0655109999999999E-2</v>
      </c>
      <c r="G14" s="4">
        <v>2.875459E-2</v>
      </c>
      <c r="H14" s="9">
        <v>2.719533E-2</v>
      </c>
      <c r="I14" s="32">
        <v>0.24422590999999999</v>
      </c>
      <c r="J14" s="4">
        <v>0.21645033999999999</v>
      </c>
      <c r="K14" s="14"/>
    </row>
    <row r="15" spans="1:13" ht="12.75" customHeight="1" x14ac:dyDescent="0.25">
      <c r="B15">
        <f>VLOOKUP(C15,[1]Hoja1!B$3:D$71,3,0)</f>
        <v>4</v>
      </c>
      <c r="C15" s="17" t="s">
        <v>86</v>
      </c>
      <c r="D15" s="4">
        <v>9.6607427799999996</v>
      </c>
      <c r="E15" s="9">
        <v>11.130897340000001</v>
      </c>
      <c r="F15" s="9">
        <v>9.8368603399999994</v>
      </c>
      <c r="G15" s="4">
        <v>9.2169344300000002</v>
      </c>
      <c r="H15" s="9">
        <v>9.1357443200000006</v>
      </c>
      <c r="I15" s="32">
        <v>9.0451762000000002</v>
      </c>
      <c r="J15" s="4">
        <v>8.7548469400000002</v>
      </c>
      <c r="K15" s="14"/>
    </row>
    <row r="16" spans="1:13" ht="14.1" customHeight="1" x14ac:dyDescent="0.2">
      <c r="A16" s="13">
        <v>1</v>
      </c>
      <c r="C16" s="18" t="s">
        <v>15</v>
      </c>
      <c r="D16" s="8">
        <f t="shared" ref="D16" si="15">SUM(D17:D19)</f>
        <v>7.7035062100000005</v>
      </c>
      <c r="E16" s="8">
        <f t="shared" ref="E16:G16" si="16">SUM(E17:E19)</f>
        <v>6.7175948299999995</v>
      </c>
      <c r="F16" s="8">
        <f t="shared" si="16"/>
        <v>5.2231423000000001</v>
      </c>
      <c r="G16" s="2">
        <f t="shared" si="16"/>
        <v>30.664042460000001</v>
      </c>
      <c r="H16" s="8">
        <f t="shared" ref="H16:I16" si="17">SUM(H17:H19)</f>
        <v>24.73189799</v>
      </c>
      <c r="I16" s="31">
        <f t="shared" si="17"/>
        <v>24.002415540000001</v>
      </c>
      <c r="J16" s="2">
        <f t="shared" ref="J16" si="18">SUM(J17:J19)</f>
        <v>25.40447245</v>
      </c>
      <c r="K16" s="14"/>
    </row>
    <row r="17" spans="1:11" ht="12.75" customHeight="1" x14ac:dyDescent="0.25">
      <c r="B17">
        <f>VLOOKUP(C17,[1]Hoja1!B$3:D$71,3,0)</f>
        <v>5</v>
      </c>
      <c r="C17" s="19" t="s">
        <v>18</v>
      </c>
      <c r="D17" s="4">
        <v>0.53869661999999996</v>
      </c>
      <c r="E17" s="9">
        <v>0.48297028000000003</v>
      </c>
      <c r="F17" s="9">
        <v>0.30996608000000003</v>
      </c>
      <c r="G17" s="4">
        <v>0.27226483000000001</v>
      </c>
      <c r="H17" s="9">
        <v>0.32929743</v>
      </c>
      <c r="I17" s="32">
        <v>0.26256236999999999</v>
      </c>
      <c r="J17" s="4">
        <v>0.45900447</v>
      </c>
      <c r="K17" s="14"/>
    </row>
    <row r="18" spans="1:11" ht="12.75" customHeight="1" x14ac:dyDescent="0.25">
      <c r="B18">
        <f>VLOOKUP(C18,[1]Hoja1!B$3:D$71,3,0)</f>
        <v>6</v>
      </c>
      <c r="C18" s="19" t="s">
        <v>96</v>
      </c>
      <c r="D18" s="9">
        <v>2.1858399999999998</v>
      </c>
      <c r="E18" s="30">
        <v>1.2096499999999999</v>
      </c>
      <c r="F18" s="9">
        <v>0.15365000000000001</v>
      </c>
      <c r="G18" s="4">
        <v>2.2835855199999999</v>
      </c>
      <c r="H18" s="9">
        <v>0.67039456000000008</v>
      </c>
      <c r="I18" s="32">
        <v>0.13911027000000001</v>
      </c>
      <c r="J18" s="4">
        <v>1.14048365</v>
      </c>
      <c r="K18" s="14"/>
    </row>
    <row r="19" spans="1:11" ht="12.75" customHeight="1" x14ac:dyDescent="0.2">
      <c r="B19" s="13">
        <v>7</v>
      </c>
      <c r="C19" s="19" t="s">
        <v>87</v>
      </c>
      <c r="D19" s="4">
        <v>4.9789695900000002</v>
      </c>
      <c r="E19" s="9">
        <v>5.0249745499999996</v>
      </c>
      <c r="F19" s="9">
        <v>4.7595262199999997</v>
      </c>
      <c r="G19" s="4">
        <v>28.108192110000001</v>
      </c>
      <c r="H19" s="9">
        <v>23.732206000000001</v>
      </c>
      <c r="I19" s="32">
        <v>23.6007429</v>
      </c>
      <c r="J19" s="4">
        <v>23.80498433</v>
      </c>
      <c r="K19" s="14"/>
    </row>
    <row r="20" spans="1:11" ht="14.1" customHeight="1" x14ac:dyDescent="0.2">
      <c r="A20" s="13">
        <v>1</v>
      </c>
      <c r="C20" s="18" t="s">
        <v>16</v>
      </c>
      <c r="D20" s="2">
        <f t="shared" ref="D20:F20" si="19">SUM(D21:D28)</f>
        <v>324.62909565999996</v>
      </c>
      <c r="E20" s="8">
        <f t="shared" si="19"/>
        <v>343.59881865</v>
      </c>
      <c r="F20" s="8">
        <f t="shared" si="19"/>
        <v>354.88011023000001</v>
      </c>
      <c r="G20" s="2">
        <f t="shared" ref="G20:I20" si="20">SUM(G21:G28)</f>
        <v>353.60142701000001</v>
      </c>
      <c r="H20" s="8">
        <f t="shared" si="20"/>
        <v>361.97186670999997</v>
      </c>
      <c r="I20" s="31">
        <f t="shared" si="20"/>
        <v>358.31779497000002</v>
      </c>
      <c r="J20" s="2">
        <f t="shared" ref="J20" si="21">SUM(J21:J28)</f>
        <v>350.32231292</v>
      </c>
      <c r="K20" s="14"/>
    </row>
    <row r="21" spans="1:11" ht="12.75" customHeight="1" x14ac:dyDescent="0.2">
      <c r="B21" s="13">
        <v>8</v>
      </c>
      <c r="C21" s="17" t="s">
        <v>88</v>
      </c>
      <c r="D21" s="4">
        <v>39.974477149999998</v>
      </c>
      <c r="E21" s="9">
        <v>33.805508359999997</v>
      </c>
      <c r="F21" s="9">
        <v>34.264927950000001</v>
      </c>
      <c r="G21" s="4">
        <v>39.101768590000006</v>
      </c>
      <c r="H21" s="9">
        <v>45.755314990000002</v>
      </c>
      <c r="I21" s="32">
        <v>46.114500479999997</v>
      </c>
      <c r="J21" s="4">
        <v>36.72566157</v>
      </c>
      <c r="K21" s="14"/>
    </row>
    <row r="22" spans="1:11" ht="12.75" customHeight="1" x14ac:dyDescent="0.2">
      <c r="B22" s="13">
        <v>9</v>
      </c>
      <c r="C22" s="17" t="s">
        <v>89</v>
      </c>
      <c r="D22" s="4">
        <v>0.3755444</v>
      </c>
      <c r="E22" s="9">
        <v>0.37478338</v>
      </c>
      <c r="F22" s="9">
        <v>0.37474881999999998</v>
      </c>
      <c r="G22" s="4">
        <v>0.32157543</v>
      </c>
      <c r="H22" s="9">
        <v>0.32197081999999999</v>
      </c>
      <c r="I22" s="32">
        <v>0.32105934000000003</v>
      </c>
      <c r="J22" s="4">
        <v>0.32095896999999995</v>
      </c>
      <c r="K22" s="14"/>
    </row>
    <row r="23" spans="1:11" ht="12.75" customHeight="1" x14ac:dyDescent="0.2">
      <c r="B23" s="13">
        <v>10</v>
      </c>
      <c r="C23" s="17" t="s">
        <v>90</v>
      </c>
      <c r="D23" s="4">
        <v>9.6256385000000009</v>
      </c>
      <c r="E23" s="9">
        <v>9.2025335600000009</v>
      </c>
      <c r="F23" s="9">
        <v>10.006725289999999</v>
      </c>
      <c r="G23" s="4">
        <v>10.960897769999999</v>
      </c>
      <c r="H23" s="9">
        <v>13.96909323</v>
      </c>
      <c r="I23" s="32">
        <v>14.399507099999999</v>
      </c>
      <c r="J23" s="4">
        <v>14.40536225</v>
      </c>
      <c r="K23" s="14"/>
    </row>
    <row r="24" spans="1:11" ht="12.75" customHeight="1" x14ac:dyDescent="0.2">
      <c r="B24" s="13">
        <v>11</v>
      </c>
      <c r="C24" s="17" t="s">
        <v>91</v>
      </c>
      <c r="D24" s="4">
        <v>9.7714744400000004</v>
      </c>
      <c r="E24" s="9">
        <v>9.4784780899999994</v>
      </c>
      <c r="F24" s="9">
        <v>8.9943661500000012</v>
      </c>
      <c r="G24" s="4">
        <v>9.6502744399999987</v>
      </c>
      <c r="H24" s="9">
        <v>9.8587165700000003</v>
      </c>
      <c r="I24" s="32">
        <v>10.09425826</v>
      </c>
      <c r="J24" s="4">
        <v>10.209458400000001</v>
      </c>
      <c r="K24" s="14"/>
    </row>
    <row r="25" spans="1:11" ht="12.75" customHeight="1" x14ac:dyDescent="0.2">
      <c r="B25" s="13">
        <v>12</v>
      </c>
      <c r="C25" s="17" t="s">
        <v>92</v>
      </c>
      <c r="D25" s="4">
        <v>8.3159457999999997</v>
      </c>
      <c r="E25" s="9">
        <v>7.4073549299999994</v>
      </c>
      <c r="F25" s="9">
        <v>7.9098821799999994</v>
      </c>
      <c r="G25" s="4">
        <v>8.2939697300000006</v>
      </c>
      <c r="H25" s="9">
        <v>12.952611119999998</v>
      </c>
      <c r="I25" s="32">
        <v>12.170628880000001</v>
      </c>
      <c r="J25" s="4">
        <v>11.80821742</v>
      </c>
      <c r="K25" s="14"/>
    </row>
    <row r="26" spans="1:11" ht="12.75" customHeight="1" x14ac:dyDescent="0.2">
      <c r="B26" s="13">
        <v>13</v>
      </c>
      <c r="C26" s="17" t="s">
        <v>93</v>
      </c>
      <c r="D26" s="4">
        <v>39.836685930000002</v>
      </c>
      <c r="E26" s="9">
        <v>39.149037560000004</v>
      </c>
      <c r="F26" s="9">
        <v>49.508487479999999</v>
      </c>
      <c r="G26" s="4">
        <v>45.221437850000001</v>
      </c>
      <c r="H26" s="9">
        <v>44.650617109999999</v>
      </c>
      <c r="I26" s="32">
        <v>45.056689110000001</v>
      </c>
      <c r="J26" s="4">
        <v>46.350984350000004</v>
      </c>
      <c r="K26" s="14"/>
    </row>
    <row r="27" spans="1:11" ht="12.75" customHeight="1" x14ac:dyDescent="0.2">
      <c r="B27" s="13">
        <v>14</v>
      </c>
      <c r="C27" s="17" t="s">
        <v>94</v>
      </c>
      <c r="D27" s="4">
        <v>2.0703367899999998</v>
      </c>
      <c r="E27" s="9">
        <v>1.6827546899999999</v>
      </c>
      <c r="F27" s="9">
        <v>1.6554753500000001</v>
      </c>
      <c r="G27" s="4">
        <v>2.53340839</v>
      </c>
      <c r="H27" s="9">
        <v>2.7101517799999999</v>
      </c>
      <c r="I27" s="32">
        <v>5.5505732199999995</v>
      </c>
      <c r="J27" s="4">
        <v>6.2637031299999997</v>
      </c>
      <c r="K27" s="14"/>
    </row>
    <row r="28" spans="1:11" ht="12.75" customHeight="1" x14ac:dyDescent="0.2">
      <c r="B28" s="13">
        <v>15</v>
      </c>
      <c r="C28" s="17" t="s">
        <v>95</v>
      </c>
      <c r="D28" s="4">
        <v>214.65899264999999</v>
      </c>
      <c r="E28" s="9">
        <v>242.49836808000001</v>
      </c>
      <c r="F28" s="9">
        <v>242.16549701</v>
      </c>
      <c r="G28" s="4">
        <v>237.51809481000001</v>
      </c>
      <c r="H28" s="9">
        <v>231.75339109000001</v>
      </c>
      <c r="I28" s="32">
        <v>224.61057858000001</v>
      </c>
      <c r="J28" s="4">
        <v>224.23796683</v>
      </c>
      <c r="K28" s="14"/>
    </row>
    <row r="29" spans="1:11" ht="13.5" customHeight="1" x14ac:dyDescent="0.2">
      <c r="A29" s="13">
        <v>1</v>
      </c>
      <c r="B29" s="13">
        <v>16</v>
      </c>
      <c r="C29" s="16" t="s">
        <v>19</v>
      </c>
      <c r="D29" s="24">
        <v>1.8776410800000001</v>
      </c>
      <c r="E29" s="12">
        <v>2.13386348</v>
      </c>
      <c r="F29" s="9">
        <v>2.1115911299999999</v>
      </c>
      <c r="G29" s="4">
        <v>2.2659227599999996</v>
      </c>
      <c r="H29" s="9">
        <v>2.4600015099999997</v>
      </c>
      <c r="I29" s="32">
        <v>2.4397557400000003</v>
      </c>
      <c r="J29" s="4">
        <v>1.94520647</v>
      </c>
      <c r="K29" s="14"/>
    </row>
    <row r="30" spans="1:11" ht="14.1" customHeight="1" x14ac:dyDescent="0.2">
      <c r="A30" s="13">
        <v>2</v>
      </c>
      <c r="C30" s="20" t="s">
        <v>20</v>
      </c>
      <c r="D30" s="2">
        <f t="shared" ref="D30:F30" si="22">SUM(D31:D37)</f>
        <v>1382.6039841099998</v>
      </c>
      <c r="E30" s="8">
        <f t="shared" si="22"/>
        <v>1389.4548059900001</v>
      </c>
      <c r="F30" s="8">
        <f t="shared" si="22"/>
        <v>1368.6620913999998</v>
      </c>
      <c r="G30" s="2">
        <f t="shared" ref="G30:I30" si="23">SUM(G31:G37)</f>
        <v>1370.2600984100004</v>
      </c>
      <c r="H30" s="8">
        <f t="shared" si="23"/>
        <v>1358.54028118</v>
      </c>
      <c r="I30" s="31">
        <f t="shared" si="23"/>
        <v>1361.0989211899998</v>
      </c>
      <c r="J30" s="2">
        <f t="shared" ref="J30" si="24">SUM(J31:J37)</f>
        <v>1399.2054484600001</v>
      </c>
      <c r="K30" s="14"/>
    </row>
    <row r="31" spans="1:11" ht="12.75" customHeight="1" x14ac:dyDescent="0.2">
      <c r="B31" s="13">
        <v>17</v>
      </c>
      <c r="C31" s="16" t="s">
        <v>21</v>
      </c>
      <c r="D31" s="4">
        <v>990.02234326999996</v>
      </c>
      <c r="E31" s="9">
        <v>1003.10458538</v>
      </c>
      <c r="F31" s="9">
        <v>978.41977854999993</v>
      </c>
      <c r="G31" s="4">
        <v>978.85076058000004</v>
      </c>
      <c r="H31" s="9">
        <v>966.61394688999997</v>
      </c>
      <c r="I31" s="32">
        <v>978.43401374999996</v>
      </c>
      <c r="J31" s="4">
        <f>956.53728816+41.7646954</f>
        <v>998.30198356000005</v>
      </c>
      <c r="K31" s="14"/>
    </row>
    <row r="32" spans="1:11" ht="12.75" customHeight="1" x14ac:dyDescent="0.2">
      <c r="B32" s="13">
        <v>18</v>
      </c>
      <c r="C32" s="16" t="s">
        <v>77</v>
      </c>
      <c r="D32" s="4">
        <v>80.332304010000001</v>
      </c>
      <c r="E32" s="9">
        <v>80.223825939999998</v>
      </c>
      <c r="F32" s="9">
        <v>73.545017019999989</v>
      </c>
      <c r="G32" s="4">
        <v>81.475608870000002</v>
      </c>
      <c r="H32" s="9">
        <v>85.738711670000001</v>
      </c>
      <c r="I32" s="32">
        <v>89.10366793</v>
      </c>
      <c r="J32" s="4">
        <v>93.972744659999989</v>
      </c>
      <c r="K32" s="14"/>
    </row>
    <row r="33" spans="1:11" ht="12.75" customHeight="1" x14ac:dyDescent="0.2">
      <c r="B33" s="13">
        <v>19</v>
      </c>
      <c r="C33" s="16" t="s">
        <v>78</v>
      </c>
      <c r="D33" s="4">
        <v>210.76699074000001</v>
      </c>
      <c r="E33" s="9">
        <v>200.40866012000001</v>
      </c>
      <c r="F33" s="9">
        <v>205.4653778</v>
      </c>
      <c r="G33" s="4">
        <v>229.95442902000002</v>
      </c>
      <c r="H33" s="9">
        <v>218.28244021</v>
      </c>
      <c r="I33" s="32">
        <v>216.57852179</v>
      </c>
      <c r="J33" s="4">
        <v>231.18577780999999</v>
      </c>
      <c r="K33" s="14"/>
    </row>
    <row r="34" spans="1:11" ht="12.75" customHeight="1" x14ac:dyDescent="0.2">
      <c r="B34" s="13">
        <v>20</v>
      </c>
      <c r="C34" s="16" t="s">
        <v>79</v>
      </c>
      <c r="D34" s="4">
        <v>1.7852489999999999E-2</v>
      </c>
      <c r="E34" s="9">
        <v>1.3667120000000001E-2</v>
      </c>
      <c r="F34" s="9">
        <v>1.23144E-2</v>
      </c>
      <c r="G34" s="4">
        <v>1.4040770000000001E-2</v>
      </c>
      <c r="H34" s="9">
        <v>8.9919700000000002E-3</v>
      </c>
      <c r="I34" s="32">
        <v>9.61096E-3</v>
      </c>
      <c r="J34" s="4">
        <v>7.8825600000000003E-3</v>
      </c>
      <c r="K34" s="14"/>
    </row>
    <row r="35" spans="1:11" ht="12.75" customHeight="1" x14ac:dyDescent="0.2">
      <c r="B35" s="13">
        <v>21</v>
      </c>
      <c r="C35" s="16" t="s">
        <v>80</v>
      </c>
      <c r="D35" s="4">
        <v>20.11412022</v>
      </c>
      <c r="E35" s="9">
        <v>19.585479239999998</v>
      </c>
      <c r="F35" s="9">
        <v>17.96442472</v>
      </c>
      <c r="G35" s="4">
        <v>17.259181340000001</v>
      </c>
      <c r="H35" s="9">
        <v>17.224454050000002</v>
      </c>
      <c r="I35" s="32">
        <v>6.5008465499999994</v>
      </c>
      <c r="J35" s="4">
        <v>6.3818004699999999</v>
      </c>
      <c r="K35" s="14"/>
    </row>
    <row r="36" spans="1:11" ht="12.75" customHeight="1" x14ac:dyDescent="0.2">
      <c r="B36" s="13">
        <v>22</v>
      </c>
      <c r="C36" s="16" t="s">
        <v>81</v>
      </c>
      <c r="D36" s="4">
        <v>79.90201802</v>
      </c>
      <c r="E36" s="9">
        <v>84.65052317</v>
      </c>
      <c r="F36" s="9">
        <v>91.796089870000003</v>
      </c>
      <c r="G36" s="4">
        <v>61.260920740000003</v>
      </c>
      <c r="H36" s="9">
        <v>69.244979079999993</v>
      </c>
      <c r="I36" s="32">
        <v>68.950314769999991</v>
      </c>
      <c r="J36" s="4">
        <v>68.264655360000006</v>
      </c>
      <c r="K36" s="14"/>
    </row>
    <row r="37" spans="1:11" ht="12.75" customHeight="1" x14ac:dyDescent="0.2">
      <c r="B37" s="13">
        <v>23</v>
      </c>
      <c r="C37" s="16" t="s">
        <v>82</v>
      </c>
      <c r="D37" s="4">
        <v>1.4483553600000001</v>
      </c>
      <c r="E37" s="9">
        <v>1.4680650200000001</v>
      </c>
      <c r="F37" s="9">
        <v>1.4590890400000001</v>
      </c>
      <c r="G37" s="4">
        <v>1.4451570900000001</v>
      </c>
      <c r="H37" s="9">
        <v>1.4267573099999999</v>
      </c>
      <c r="I37" s="32">
        <v>1.5219454399999999</v>
      </c>
      <c r="J37" s="4">
        <v>1.0906040400000001</v>
      </c>
      <c r="K37" s="14"/>
    </row>
    <row r="38" spans="1:11" ht="14.1" customHeight="1" x14ac:dyDescent="0.2">
      <c r="A38" s="13">
        <v>3</v>
      </c>
      <c r="C38" s="20" t="s">
        <v>22</v>
      </c>
      <c r="D38" s="2">
        <f t="shared" ref="D38:F38" si="25">+D39+D40</f>
        <v>103.98810072000001</v>
      </c>
      <c r="E38" s="8">
        <f t="shared" si="25"/>
        <v>93.969436279999996</v>
      </c>
      <c r="F38" s="8">
        <f t="shared" si="25"/>
        <v>96.03487376999999</v>
      </c>
      <c r="G38" s="2">
        <f t="shared" ref="G38:I38" si="26">+G39+G40</f>
        <v>87.005590339999998</v>
      </c>
      <c r="H38" s="8">
        <f t="shared" si="26"/>
        <v>83.542149730000006</v>
      </c>
      <c r="I38" s="31">
        <f t="shared" si="26"/>
        <v>86.778399309999998</v>
      </c>
      <c r="J38" s="2">
        <f t="shared" ref="J38" si="27">+J39+J40</f>
        <v>83.250373459999992</v>
      </c>
      <c r="K38" s="14"/>
    </row>
    <row r="39" spans="1:11" ht="14.1" customHeight="1" x14ac:dyDescent="0.2">
      <c r="B39" s="13">
        <v>24</v>
      </c>
      <c r="C39" s="16" t="s">
        <v>22</v>
      </c>
      <c r="D39" s="4">
        <v>57.652890999999997</v>
      </c>
      <c r="E39" s="9">
        <v>57.181164369999998</v>
      </c>
      <c r="F39" s="9">
        <v>61.326033029999998</v>
      </c>
      <c r="G39" s="4">
        <v>58.531743759999998</v>
      </c>
      <c r="H39" s="9">
        <v>59.121795210000002</v>
      </c>
      <c r="I39" s="32">
        <v>60.328855170000004</v>
      </c>
      <c r="J39" s="4">
        <v>56.557595169999999</v>
      </c>
      <c r="K39" s="14"/>
    </row>
    <row r="40" spans="1:11" ht="14.1" customHeight="1" x14ac:dyDescent="0.2">
      <c r="B40" s="13">
        <v>25</v>
      </c>
      <c r="C40" s="16" t="s">
        <v>73</v>
      </c>
      <c r="D40" s="4">
        <v>46.335209720000002</v>
      </c>
      <c r="E40" s="9">
        <v>36.788271909999999</v>
      </c>
      <c r="F40" s="9">
        <v>34.708840739999999</v>
      </c>
      <c r="G40" s="4">
        <v>28.473846579999996</v>
      </c>
      <c r="H40" s="9">
        <v>24.42035452</v>
      </c>
      <c r="I40" s="32">
        <v>26.44954414</v>
      </c>
      <c r="J40" s="4">
        <v>26.69277829</v>
      </c>
      <c r="K40" s="14"/>
    </row>
    <row r="41" spans="1:11" ht="14.1" customHeight="1" x14ac:dyDescent="0.2">
      <c r="A41" s="13">
        <v>4</v>
      </c>
      <c r="C41" s="20" t="s">
        <v>72</v>
      </c>
      <c r="D41" s="28">
        <f t="shared" ref="D41:F41" si="28">+D42+D43+D44</f>
        <v>38.80556936</v>
      </c>
      <c r="E41" s="8">
        <f t="shared" si="28"/>
        <v>56.572093059999993</v>
      </c>
      <c r="F41" s="8">
        <f t="shared" si="28"/>
        <v>41.061966730000002</v>
      </c>
      <c r="G41" s="2">
        <f t="shared" ref="G41:I41" si="29">+G42+G43+G44</f>
        <v>41.435869009999998</v>
      </c>
      <c r="H41" s="8">
        <f t="shared" si="29"/>
        <v>41.499875630000005</v>
      </c>
      <c r="I41" s="31">
        <f t="shared" si="29"/>
        <v>40.718610239999997</v>
      </c>
      <c r="J41" s="2">
        <f t="shared" ref="J41" si="30">+J42+J43+J44</f>
        <v>71.152626949999998</v>
      </c>
      <c r="K41" s="14"/>
    </row>
    <row r="42" spans="1:11" ht="14.1" customHeight="1" x14ac:dyDescent="0.2">
      <c r="B42" s="13">
        <v>26</v>
      </c>
      <c r="C42" s="16" t="s">
        <v>74</v>
      </c>
      <c r="D42" s="4">
        <v>3.88614237</v>
      </c>
      <c r="E42" s="9">
        <f>22173900.68/1000000</f>
        <v>22.173900679999999</v>
      </c>
      <c r="F42" s="9">
        <v>20.46498231</v>
      </c>
      <c r="G42" s="4">
        <v>20.72900795</v>
      </c>
      <c r="H42" s="9">
        <v>20.615152210000002</v>
      </c>
      <c r="I42" s="38">
        <v>20.494195940000001</v>
      </c>
      <c r="J42" s="4">
        <v>30.084681710000002</v>
      </c>
      <c r="K42" s="14"/>
    </row>
    <row r="43" spans="1:11" ht="14.1" customHeight="1" x14ac:dyDescent="0.2">
      <c r="B43" s="13">
        <v>27</v>
      </c>
      <c r="C43" s="16" t="s">
        <v>75</v>
      </c>
      <c r="D43" s="4">
        <v>33.49675878</v>
      </c>
      <c r="E43" s="9">
        <f>33200490.29/1000000</f>
        <v>33.200490289999998</v>
      </c>
      <c r="F43" s="9">
        <v>19.377656989999998</v>
      </c>
      <c r="G43" s="4">
        <v>19.581170649999997</v>
      </c>
      <c r="H43" s="9">
        <v>19.542163460000001</v>
      </c>
      <c r="I43" s="38">
        <v>18.909791559999999</v>
      </c>
      <c r="J43" s="4">
        <v>39.328214840000001</v>
      </c>
      <c r="K43" s="14"/>
    </row>
    <row r="44" spans="1:11" ht="14.1" customHeight="1" x14ac:dyDescent="0.2">
      <c r="B44" s="13">
        <v>28</v>
      </c>
      <c r="C44" s="16" t="s">
        <v>76</v>
      </c>
      <c r="D44" s="4">
        <v>1.4226682099999999</v>
      </c>
      <c r="E44" s="9">
        <f>1197702.09/1000000</f>
        <v>1.1977020900000002</v>
      </c>
      <c r="F44" s="9">
        <v>1.2193274299999999</v>
      </c>
      <c r="G44" s="4">
        <v>1.1256904099999998</v>
      </c>
      <c r="H44" s="9">
        <v>1.34255996</v>
      </c>
      <c r="I44" s="38">
        <v>1.3146227399999999</v>
      </c>
      <c r="J44" s="4">
        <v>1.7397304</v>
      </c>
      <c r="K44" s="31"/>
    </row>
    <row r="45" spans="1:11" ht="14.1" customHeight="1" x14ac:dyDescent="0.2">
      <c r="A45" s="13">
        <v>5</v>
      </c>
      <c r="C45" s="20" t="s">
        <v>23</v>
      </c>
      <c r="D45" s="2">
        <f t="shared" ref="D45:E45" si="31">D46+D49</f>
        <v>6403.2846466999999</v>
      </c>
      <c r="E45" s="8">
        <f t="shared" si="31"/>
        <v>6295.8051078799999</v>
      </c>
      <c r="F45" s="8">
        <f>F46+F49</f>
        <v>6617.0958328900006</v>
      </c>
      <c r="G45" s="2">
        <f>G46+G49</f>
        <v>6481.7724725400003</v>
      </c>
      <c r="H45" s="8">
        <f>H46+H49</f>
        <v>6614.2573021999997</v>
      </c>
      <c r="I45" s="31">
        <f>I46+I49</f>
        <v>6856.9861432899997</v>
      </c>
      <c r="J45" s="2">
        <f>J46+J49</f>
        <v>7120.6181106900003</v>
      </c>
      <c r="K45" s="31"/>
    </row>
    <row r="46" spans="1:11" ht="14.1" customHeight="1" x14ac:dyDescent="0.2">
      <c r="B46" s="13">
        <v>29</v>
      </c>
      <c r="C46" s="16" t="s">
        <v>24</v>
      </c>
      <c r="D46" s="2">
        <f t="shared" ref="D46:E46" si="32">SUM(D47:D48)</f>
        <v>3783.3772574900004</v>
      </c>
      <c r="E46" s="8">
        <f t="shared" si="32"/>
        <v>4036.35103996</v>
      </c>
      <c r="F46" s="8">
        <f>SUM(F47:F48)</f>
        <v>4231.1228911900007</v>
      </c>
      <c r="G46" s="2">
        <f>SUM(G47:G48)</f>
        <v>4166.0609652900002</v>
      </c>
      <c r="H46" s="8">
        <f>SUM(H47:H48)</f>
        <v>4068.0172842400002</v>
      </c>
      <c r="I46" s="31">
        <f>SUM(I47:I48)</f>
        <v>4208.3252015500002</v>
      </c>
      <c r="J46" s="2">
        <f>SUM(J47:J48)</f>
        <v>4602.6848580400001</v>
      </c>
      <c r="K46" s="31"/>
    </row>
    <row r="47" spans="1:11" ht="14.1" customHeight="1" x14ac:dyDescent="0.2">
      <c r="C47" s="17" t="s">
        <v>25</v>
      </c>
      <c r="D47" s="4">
        <f>1369434430.01/1000000</f>
        <v>1369.4344300099999</v>
      </c>
      <c r="E47" s="9">
        <v>1112.93365862</v>
      </c>
      <c r="F47" s="9">
        <v>1666.3600778700004</v>
      </c>
      <c r="G47" s="4">
        <f>1615523307.24/1000000</f>
        <v>1615.5233072400001</v>
      </c>
      <c r="H47" s="4">
        <v>1552.4513511300001</v>
      </c>
      <c r="I47" s="4">
        <v>1750.5889618399999</v>
      </c>
      <c r="J47" s="4">
        <v>1969.0251853300001</v>
      </c>
      <c r="K47" s="31"/>
    </row>
    <row r="48" spans="1:11" ht="14.1" customHeight="1" x14ac:dyDescent="0.2">
      <c r="C48" s="19" t="s">
        <v>26</v>
      </c>
      <c r="D48" s="7">
        <f>2413942827.48/1000000</f>
        <v>2413.9428274800002</v>
      </c>
      <c r="E48" s="9">
        <v>2923.4173813400002</v>
      </c>
      <c r="F48" s="9">
        <v>2564.7628133200001</v>
      </c>
      <c r="G48" s="4">
        <f>2550537658.05/1000000</f>
        <v>2550.5376580500001</v>
      </c>
      <c r="H48" s="4">
        <v>2515.5659331100001</v>
      </c>
      <c r="I48" s="4">
        <v>2457.7362397100001</v>
      </c>
      <c r="J48" s="4">
        <v>2633.65967271</v>
      </c>
      <c r="K48" s="31"/>
    </row>
    <row r="49" spans="1:11" ht="14.1" customHeight="1" x14ac:dyDescent="0.2">
      <c r="B49" s="13">
        <v>30</v>
      </c>
      <c r="C49" s="16" t="s">
        <v>27</v>
      </c>
      <c r="D49" s="4">
        <f>2619907389.21/1000000</f>
        <v>2619.90738921</v>
      </c>
      <c r="E49" s="9">
        <v>2259.4540679199999</v>
      </c>
      <c r="F49" s="9">
        <v>2385.9729416999999</v>
      </c>
      <c r="G49" s="4">
        <f>2315711507.25/1000000</f>
        <v>2315.7115072500001</v>
      </c>
      <c r="H49" s="9">
        <v>2546.2400179599999</v>
      </c>
      <c r="I49" s="4">
        <v>2648.66094174</v>
      </c>
      <c r="J49" s="4">
        <v>2517.9332526500002</v>
      </c>
      <c r="K49" s="31"/>
    </row>
    <row r="50" spans="1:11" ht="14.1" customHeight="1" x14ac:dyDescent="0.2">
      <c r="A50" s="13">
        <v>5</v>
      </c>
      <c r="C50" s="20" t="s">
        <v>28</v>
      </c>
      <c r="D50" s="2">
        <f t="shared" ref="D50:F50" si="33">SUM(D51:D62)</f>
        <v>5843.7269204799995</v>
      </c>
      <c r="E50" s="8">
        <f t="shared" si="33"/>
        <v>6133.452303250001</v>
      </c>
      <c r="F50" s="8">
        <f t="shared" si="33"/>
        <v>6445.2377116399994</v>
      </c>
      <c r="G50" s="2">
        <f t="shared" ref="G50:I50" si="34">SUM(G51:G62)</f>
        <v>6415.3082295699996</v>
      </c>
      <c r="H50" s="8">
        <f t="shared" si="34"/>
        <v>6373.8422971199998</v>
      </c>
      <c r="I50" s="31">
        <f t="shared" si="34"/>
        <v>6554.1028418700007</v>
      </c>
      <c r="J50" s="2">
        <f t="shared" ref="J50" si="35">SUM(J51:J62)</f>
        <v>6746.3654831499989</v>
      </c>
      <c r="K50" s="14"/>
    </row>
    <row r="51" spans="1:11" ht="14.1" customHeight="1" x14ac:dyDescent="0.2">
      <c r="B51" s="13">
        <v>31</v>
      </c>
      <c r="C51" s="16" t="s">
        <v>71</v>
      </c>
      <c r="D51" s="4">
        <f>719302672.37/1000000</f>
        <v>719.30267236999998</v>
      </c>
      <c r="E51" s="9">
        <v>762.99849102999997</v>
      </c>
      <c r="F51" s="9">
        <v>853.30621812000004</v>
      </c>
      <c r="G51" s="4">
        <v>880.37358152000002</v>
      </c>
      <c r="H51" s="9">
        <v>882.53437283000005</v>
      </c>
      <c r="I51" s="36">
        <v>894.31015489000004</v>
      </c>
      <c r="J51" s="4">
        <v>932.02381743000001</v>
      </c>
      <c r="K51" s="14"/>
    </row>
    <row r="52" spans="1:11" ht="14.1" customHeight="1" x14ac:dyDescent="0.2">
      <c r="B52" s="13">
        <v>32</v>
      </c>
      <c r="C52" s="16" t="s">
        <v>60</v>
      </c>
      <c r="D52" s="4">
        <f>542445448.67/1000000</f>
        <v>542.44544866999991</v>
      </c>
      <c r="E52" s="9">
        <v>576.04400066999995</v>
      </c>
      <c r="F52" s="9">
        <v>608.15864284999998</v>
      </c>
      <c r="G52" s="4">
        <v>589.19912698000007</v>
      </c>
      <c r="H52" s="9">
        <v>608.55389597999999</v>
      </c>
      <c r="I52" s="36">
        <v>644.76310535000005</v>
      </c>
      <c r="J52" s="4">
        <v>681.15641037</v>
      </c>
      <c r="K52" s="14"/>
    </row>
    <row r="53" spans="1:11" ht="14.1" customHeight="1" x14ac:dyDescent="0.2">
      <c r="B53" s="13">
        <v>33</v>
      </c>
      <c r="C53" s="16" t="s">
        <v>61</v>
      </c>
      <c r="D53" s="4">
        <f>40546264.98/1000000</f>
        <v>40.546264979999997</v>
      </c>
      <c r="E53" s="9">
        <v>48.661370470000001</v>
      </c>
      <c r="F53" s="9">
        <v>47.28860315</v>
      </c>
      <c r="G53" s="4">
        <v>45.828156659999998</v>
      </c>
      <c r="H53" s="9">
        <v>45.667932960000002</v>
      </c>
      <c r="I53" s="36">
        <v>43.32425215</v>
      </c>
      <c r="J53" s="4">
        <v>94.31259842</v>
      </c>
      <c r="K53" s="14"/>
    </row>
    <row r="54" spans="1:11" ht="14.1" customHeight="1" x14ac:dyDescent="0.2">
      <c r="B54" s="13">
        <v>34</v>
      </c>
      <c r="C54" s="16" t="s">
        <v>62</v>
      </c>
      <c r="D54" s="4">
        <f>4267049.49/1000000</f>
        <v>4.2670494900000007</v>
      </c>
      <c r="E54" s="9">
        <v>4.4527170700000003</v>
      </c>
      <c r="F54" s="9">
        <v>4.4457510199999994</v>
      </c>
      <c r="G54" s="4">
        <v>4.4791764900000004</v>
      </c>
      <c r="H54" s="9">
        <v>4.6780745700000006</v>
      </c>
      <c r="I54" s="36">
        <v>4.7913487100000003</v>
      </c>
      <c r="J54" s="4">
        <v>4.6234580599999999</v>
      </c>
      <c r="K54" s="14"/>
    </row>
    <row r="55" spans="1:11" ht="14.1" customHeight="1" x14ac:dyDescent="0.2">
      <c r="B55" s="13">
        <v>35</v>
      </c>
      <c r="C55" s="16" t="s">
        <v>63</v>
      </c>
      <c r="D55" s="4">
        <f>13611112.05/1000000</f>
        <v>13.611112050000001</v>
      </c>
      <c r="E55" s="9">
        <v>12.31328993</v>
      </c>
      <c r="F55" s="9">
        <v>12.003396480000001</v>
      </c>
      <c r="G55" s="4">
        <v>14.70424328</v>
      </c>
      <c r="H55" s="9">
        <v>13.702770859999999</v>
      </c>
      <c r="I55" s="36">
        <v>15.45828798</v>
      </c>
      <c r="J55" s="4">
        <v>17.654560929999999</v>
      </c>
      <c r="K55" s="14"/>
    </row>
    <row r="56" spans="1:11" ht="14.1" customHeight="1" x14ac:dyDescent="0.2">
      <c r="B56" s="13">
        <v>36</v>
      </c>
      <c r="C56" s="16" t="s">
        <v>64</v>
      </c>
      <c r="D56" s="4">
        <f>306572954.93/1000000</f>
        <v>306.57295492999998</v>
      </c>
      <c r="E56" s="9">
        <v>432.92196488999997</v>
      </c>
      <c r="F56" s="9">
        <v>434.77186533999998</v>
      </c>
      <c r="G56" s="27">
        <v>431.89308766000005</v>
      </c>
      <c r="H56" s="41">
        <v>402.85061254999999</v>
      </c>
      <c r="I56" s="36">
        <v>387.82532320999997</v>
      </c>
      <c r="J56" s="27">
        <f>498.7525296-90.38054918</f>
        <v>408.37198042</v>
      </c>
      <c r="K56" s="14"/>
    </row>
    <row r="57" spans="1:11" ht="14.1" customHeight="1" x14ac:dyDescent="0.2">
      <c r="B57" s="13">
        <v>37</v>
      </c>
      <c r="C57" s="16" t="s">
        <v>65</v>
      </c>
      <c r="D57" s="4">
        <f>162227883.7/1000000</f>
        <v>162.22788369999998</v>
      </c>
      <c r="E57" s="9">
        <v>160.97086196999999</v>
      </c>
      <c r="F57" s="9">
        <v>162.12617209999999</v>
      </c>
      <c r="G57" s="4">
        <v>153.80732319000001</v>
      </c>
      <c r="H57" s="9">
        <v>147.67112109999999</v>
      </c>
      <c r="I57" s="36">
        <v>100.86853307999999</v>
      </c>
      <c r="J57" s="4">
        <f>105.70481994</f>
        <v>105.70481993999999</v>
      </c>
      <c r="K57" s="14"/>
    </row>
    <row r="58" spans="1:11" ht="14.1" customHeight="1" x14ac:dyDescent="0.2">
      <c r="B58" s="13">
        <v>38</v>
      </c>
      <c r="C58" s="16" t="s">
        <v>66</v>
      </c>
      <c r="D58" s="4">
        <f>49544757.07/1000000</f>
        <v>49.544757070000003</v>
      </c>
      <c r="E58" s="9">
        <v>57.200573380000002</v>
      </c>
      <c r="F58" s="9">
        <v>57.992929750000002</v>
      </c>
      <c r="G58" s="4">
        <v>57.856758060000004</v>
      </c>
      <c r="H58" s="9">
        <v>71.147053720000002</v>
      </c>
      <c r="I58" s="36">
        <v>87.396865040000009</v>
      </c>
      <c r="J58" s="4">
        <v>83.652322870000006</v>
      </c>
      <c r="K58" s="14"/>
    </row>
    <row r="59" spans="1:11" ht="14.1" customHeight="1" x14ac:dyDescent="0.2">
      <c r="B59" s="13">
        <v>39</v>
      </c>
      <c r="C59" s="16" t="s">
        <v>67</v>
      </c>
      <c r="D59" s="4">
        <f>233910678.73/1000000</f>
        <v>233.91067873</v>
      </c>
      <c r="E59" s="9">
        <v>236.76070480999999</v>
      </c>
      <c r="F59" s="9">
        <v>238.69417135</v>
      </c>
      <c r="G59" s="4">
        <v>231.20448877000001</v>
      </c>
      <c r="H59" s="9">
        <v>230.05397134</v>
      </c>
      <c r="I59" s="36">
        <v>230.50258547999999</v>
      </c>
      <c r="J59" s="4">
        <v>255.56139490999999</v>
      </c>
      <c r="K59" s="14"/>
    </row>
    <row r="60" spans="1:11" ht="14.1" customHeight="1" x14ac:dyDescent="0.2">
      <c r="B60" s="13">
        <v>40</v>
      </c>
      <c r="C60" s="16" t="s">
        <v>68</v>
      </c>
      <c r="D60" s="4">
        <f>2782737918.15/1000000</f>
        <v>2782.73791815</v>
      </c>
      <c r="E60" s="9">
        <v>2836.2010428799999</v>
      </c>
      <c r="F60" s="9">
        <v>2966.7700545799999</v>
      </c>
      <c r="G60" s="4">
        <v>2936.78381945</v>
      </c>
      <c r="H60" s="9">
        <v>2900.1632934200002</v>
      </c>
      <c r="I60" s="36">
        <v>2953.8504865700002</v>
      </c>
      <c r="J60" s="4">
        <v>3056.6759229899999</v>
      </c>
      <c r="K60" s="14"/>
    </row>
    <row r="61" spans="1:11" ht="14.1" customHeight="1" x14ac:dyDescent="0.2">
      <c r="B61" s="13">
        <v>41</v>
      </c>
      <c r="C61" s="16" t="s">
        <v>69</v>
      </c>
      <c r="D61" s="4">
        <f>192107572.94/1000000</f>
        <v>192.10757294000001</v>
      </c>
      <c r="E61" s="9">
        <v>195.54827036</v>
      </c>
      <c r="F61" s="9">
        <v>186.47220418000001</v>
      </c>
      <c r="G61" s="4">
        <v>181.33933325000001</v>
      </c>
      <c r="H61" s="9">
        <v>177.98212563999999</v>
      </c>
      <c r="I61" s="36">
        <v>175.55552940999999</v>
      </c>
      <c r="J61" s="4">
        <v>183.41459556000001</v>
      </c>
      <c r="K61" s="14"/>
    </row>
    <row r="62" spans="1:11" ht="14.1" customHeight="1" x14ac:dyDescent="0.2">
      <c r="B62" s="13">
        <v>42</v>
      </c>
      <c r="C62" s="16" t="s">
        <v>70</v>
      </c>
      <c r="D62" s="4">
        <f>796452607.4/1000000</f>
        <v>796.45260739999992</v>
      </c>
      <c r="E62" s="9">
        <v>809.37901578999993</v>
      </c>
      <c r="F62" s="9">
        <v>873.20770272000004</v>
      </c>
      <c r="G62" s="4">
        <v>887.83913426000004</v>
      </c>
      <c r="H62" s="9">
        <v>888.83707214999993</v>
      </c>
      <c r="I62" s="36">
        <v>1015.45637</v>
      </c>
      <c r="J62" s="4">
        <v>923.21360125000001</v>
      </c>
      <c r="K62" s="14"/>
    </row>
    <row r="63" spans="1:11" ht="14.1" customHeight="1" x14ac:dyDescent="0.2">
      <c r="A63" s="13">
        <v>6</v>
      </c>
      <c r="C63" s="20" t="s">
        <v>29</v>
      </c>
      <c r="D63" s="2">
        <f t="shared" ref="D63" si="36">D64+D65+D66+D67+D68+D69</f>
        <v>1695.7644037399998</v>
      </c>
      <c r="E63" s="8">
        <f t="shared" ref="E63:J63" si="37">E64+E65+E66+E67+E68+E69</f>
        <v>1603.0160057299997</v>
      </c>
      <c r="F63" s="8">
        <f t="shared" si="37"/>
        <v>1625.0604345100001</v>
      </c>
      <c r="G63" s="2">
        <f t="shared" si="37"/>
        <v>1607.4637685399998</v>
      </c>
      <c r="H63" s="8">
        <f t="shared" si="37"/>
        <v>1659.2097131999999</v>
      </c>
      <c r="I63" s="31">
        <f t="shared" si="37"/>
        <v>1687.1958799399999</v>
      </c>
      <c r="J63" s="2">
        <f t="shared" si="37"/>
        <v>1724.8149527700002</v>
      </c>
      <c r="K63" s="14"/>
    </row>
    <row r="64" spans="1:11" ht="12.75" customHeight="1" x14ac:dyDescent="0.2">
      <c r="B64" s="13">
        <v>43</v>
      </c>
      <c r="C64" s="21" t="s">
        <v>54</v>
      </c>
      <c r="D64" s="4">
        <f>659805221.15/1000000</f>
        <v>659.80522114999997</v>
      </c>
      <c r="E64" s="9">
        <v>664.20949428999995</v>
      </c>
      <c r="F64" s="9">
        <v>669.68733584000006</v>
      </c>
      <c r="G64" s="4">
        <v>706.66362114999993</v>
      </c>
      <c r="H64" s="9">
        <v>783.33233116999997</v>
      </c>
      <c r="I64" s="36">
        <v>834.41309265999996</v>
      </c>
      <c r="J64" s="4">
        <v>844.92767419999996</v>
      </c>
      <c r="K64" s="14"/>
    </row>
    <row r="65" spans="1:11" ht="12.75" customHeight="1" x14ac:dyDescent="0.2">
      <c r="B65" s="13">
        <v>44</v>
      </c>
      <c r="C65" s="21" t="s">
        <v>55</v>
      </c>
      <c r="D65" s="4">
        <f>44189112.94/1000000</f>
        <v>44.189112940000001</v>
      </c>
      <c r="E65" s="9">
        <v>47.109678359999997</v>
      </c>
      <c r="F65" s="9">
        <v>44.046454920000002</v>
      </c>
      <c r="G65" s="4">
        <v>45.237491119999994</v>
      </c>
      <c r="H65" s="9">
        <v>46.378740819999997</v>
      </c>
      <c r="I65" s="36">
        <v>47.894885049999999</v>
      </c>
      <c r="J65" s="4">
        <v>50.810158450000003</v>
      </c>
      <c r="K65" s="14"/>
    </row>
    <row r="66" spans="1:11" ht="12.75" customHeight="1" x14ac:dyDescent="0.2">
      <c r="B66" s="13">
        <v>45</v>
      </c>
      <c r="C66" s="21" t="s">
        <v>56</v>
      </c>
      <c r="D66" s="4">
        <f>403144617.56/1000000</f>
        <v>403.14461756000003</v>
      </c>
      <c r="E66" s="9">
        <v>401.83502026999997</v>
      </c>
      <c r="F66" s="9">
        <v>418.72499032000002</v>
      </c>
      <c r="G66" s="4">
        <v>363.90854588999997</v>
      </c>
      <c r="H66" s="9">
        <v>301.46279218000001</v>
      </c>
      <c r="I66" s="36">
        <v>301.82590756999997</v>
      </c>
      <c r="J66" s="4">
        <v>309.79061297999999</v>
      </c>
      <c r="K66" s="14"/>
    </row>
    <row r="67" spans="1:11" ht="12.75" customHeight="1" x14ac:dyDescent="0.2">
      <c r="B67" s="13">
        <v>46</v>
      </c>
      <c r="C67" s="21" t="s">
        <v>57</v>
      </c>
      <c r="D67" s="4">
        <f>53884686.84/1000000</f>
        <v>53.884686840000001</v>
      </c>
      <c r="E67" s="9">
        <v>53.625115810000004</v>
      </c>
      <c r="F67" s="9">
        <v>55.606690530000002</v>
      </c>
      <c r="G67" s="4">
        <v>46.068937770000005</v>
      </c>
      <c r="H67" s="9">
        <v>30.729651820000001</v>
      </c>
      <c r="I67" s="36">
        <v>36.831100090000007</v>
      </c>
      <c r="J67" s="4">
        <v>39.2977694</v>
      </c>
      <c r="K67" s="14"/>
    </row>
    <row r="68" spans="1:11" ht="12.75" customHeight="1" x14ac:dyDescent="0.2">
      <c r="B68" s="13">
        <v>47</v>
      </c>
      <c r="C68" s="21" t="s">
        <v>58</v>
      </c>
      <c r="D68" s="4">
        <f>63294127.88/1000000</f>
        <v>63.294127880000005</v>
      </c>
      <c r="E68" s="9">
        <v>65.77248865</v>
      </c>
      <c r="F68" s="9">
        <v>55.560386619999996</v>
      </c>
      <c r="G68" s="4">
        <v>56.079812990000001</v>
      </c>
      <c r="H68" s="9">
        <v>56.717754899999996</v>
      </c>
      <c r="I68" s="36">
        <v>62.377842700000002</v>
      </c>
      <c r="J68" s="4">
        <v>51.38137424</v>
      </c>
      <c r="K68" s="14"/>
    </row>
    <row r="69" spans="1:11" ht="12.75" customHeight="1" x14ac:dyDescent="0.2">
      <c r="B69" s="13">
        <v>48</v>
      </c>
      <c r="C69" s="21" t="s">
        <v>59</v>
      </c>
      <c r="D69" s="4">
        <f>471446637.37/1000000</f>
        <v>471.44663737000002</v>
      </c>
      <c r="E69" s="9">
        <v>370.46420835000004</v>
      </c>
      <c r="F69" s="9">
        <v>381.43457628000016</v>
      </c>
      <c r="G69" s="4">
        <v>389.50535961999998</v>
      </c>
      <c r="H69" s="9">
        <v>440.58844231</v>
      </c>
      <c r="I69" s="36">
        <v>403.85305187</v>
      </c>
      <c r="J69" s="4">
        <v>428.60736350000002</v>
      </c>
      <c r="K69" s="14"/>
    </row>
    <row r="70" spans="1:11" ht="13.5" customHeight="1" x14ac:dyDescent="0.2">
      <c r="A70" s="13">
        <v>6</v>
      </c>
      <c r="B70" s="13">
        <v>49</v>
      </c>
      <c r="C70" s="22" t="s">
        <v>53</v>
      </c>
      <c r="D70" s="4">
        <f>2284690582.35/1000000</f>
        <v>2284.6905823500001</v>
      </c>
      <c r="E70" s="9">
        <v>2348.70607019</v>
      </c>
      <c r="F70" s="9">
        <v>2394.8071138099999</v>
      </c>
      <c r="G70" s="4">
        <v>2462.09445125</v>
      </c>
      <c r="H70" s="9">
        <v>2495.9740241199997</v>
      </c>
      <c r="I70" s="36">
        <v>2394.2910211999997</v>
      </c>
      <c r="J70" s="4">
        <v>2441.0211058899999</v>
      </c>
      <c r="K70" s="14"/>
    </row>
    <row r="71" spans="1:11" ht="14.1" customHeight="1" x14ac:dyDescent="0.2">
      <c r="C71" s="20" t="s">
        <v>52</v>
      </c>
      <c r="D71" s="2">
        <f t="shared" ref="D71:F71" si="38">D72+D73+D74+D75</f>
        <v>4894.56490321</v>
      </c>
      <c r="E71" s="8">
        <f t="shared" si="38"/>
        <v>4980.9148635399997</v>
      </c>
      <c r="F71" s="8">
        <f t="shared" si="38"/>
        <v>5021.5021681899998</v>
      </c>
      <c r="G71" s="2">
        <f t="shared" ref="G71:I71" si="39">G72+G73+G74+G75</f>
        <v>4934.4348323599997</v>
      </c>
      <c r="H71" s="8">
        <f t="shared" si="39"/>
        <v>4810.5988331500002</v>
      </c>
      <c r="I71" s="31">
        <f t="shared" si="39"/>
        <v>4614.1937371700005</v>
      </c>
      <c r="J71" s="2">
        <f t="shared" ref="J71" si="40">J72+J73+J74+J75</f>
        <v>4464.9297493100003</v>
      </c>
      <c r="K71" s="14"/>
    </row>
    <row r="72" spans="1:11" ht="12.75" customHeight="1" x14ac:dyDescent="0.2">
      <c r="A72" s="13">
        <v>7</v>
      </c>
      <c r="B72" s="13">
        <v>50</v>
      </c>
      <c r="C72" s="18" t="s">
        <v>48</v>
      </c>
      <c r="D72" s="4">
        <f>1695660355.77/1000000</f>
        <v>1695.66035577</v>
      </c>
      <c r="E72" s="9">
        <f>1757800958.24/1000000</f>
        <v>1757.80095824</v>
      </c>
      <c r="F72" s="9">
        <v>1718.66699872</v>
      </c>
      <c r="G72" s="4">
        <v>1679.8261419600001</v>
      </c>
      <c r="H72" s="9">
        <v>1658.35857472</v>
      </c>
      <c r="I72" s="36">
        <v>1619.07662392</v>
      </c>
      <c r="J72" s="4">
        <v>1534.03635306</v>
      </c>
      <c r="K72" s="14"/>
    </row>
    <row r="73" spans="1:11" ht="12.75" customHeight="1" x14ac:dyDescent="0.2">
      <c r="A73" s="13">
        <v>8</v>
      </c>
      <c r="B73" s="13">
        <v>51</v>
      </c>
      <c r="C73" s="21" t="s">
        <v>49</v>
      </c>
      <c r="D73" s="4">
        <f>1012776981.84/1000000</f>
        <v>1012.7769818400001</v>
      </c>
      <c r="E73" s="9">
        <f>1071252572.03/1000000</f>
        <v>1071.25257203</v>
      </c>
      <c r="F73" s="9">
        <v>1046.6439562099999</v>
      </c>
      <c r="G73" s="4">
        <v>1033.0459436399999</v>
      </c>
      <c r="H73" s="9">
        <v>1021.09396336</v>
      </c>
      <c r="I73" s="36">
        <v>955.65947841000002</v>
      </c>
      <c r="J73" s="4">
        <v>950.94703127000002</v>
      </c>
      <c r="K73" s="14"/>
    </row>
    <row r="74" spans="1:11" ht="12.75" customHeight="1" x14ac:dyDescent="0.2">
      <c r="A74" s="13">
        <v>8</v>
      </c>
      <c r="B74" s="13">
        <v>52</v>
      </c>
      <c r="C74" s="21" t="s">
        <v>50</v>
      </c>
      <c r="D74" s="4">
        <f>716167407/1000000</f>
        <v>716.16740700000003</v>
      </c>
      <c r="E74" s="9">
        <f>719887596.61/1000000</f>
        <v>719.88759661000006</v>
      </c>
      <c r="F74" s="9">
        <v>715.98966544999996</v>
      </c>
      <c r="G74" s="4">
        <v>730.78252294000004</v>
      </c>
      <c r="H74" s="9">
        <v>740.33136074000004</v>
      </c>
      <c r="I74" s="36">
        <v>717.31769883000004</v>
      </c>
      <c r="J74" s="4">
        <v>696.15244304999999</v>
      </c>
      <c r="K74" s="14"/>
    </row>
    <row r="75" spans="1:11" ht="12.75" customHeight="1" x14ac:dyDescent="0.2">
      <c r="A75" s="13">
        <v>8</v>
      </c>
      <c r="B75" s="13">
        <v>53</v>
      </c>
      <c r="C75" s="21" t="s">
        <v>51</v>
      </c>
      <c r="D75" s="4">
        <f>1469960158.6/1000000</f>
        <v>1469.9601585999999</v>
      </c>
      <c r="E75" s="9">
        <f>1431973736.66/1000000</f>
        <v>1431.97373666</v>
      </c>
      <c r="F75" s="9">
        <v>1540.20154781</v>
      </c>
      <c r="G75" s="4">
        <v>1490.7802238199999</v>
      </c>
      <c r="H75" s="9">
        <v>1390.8149343299999</v>
      </c>
      <c r="I75" s="36">
        <v>1322.1399360099999</v>
      </c>
      <c r="J75" s="4">
        <v>1283.7939219300001</v>
      </c>
      <c r="K75" s="14"/>
    </row>
    <row r="76" spans="1:11" ht="14.1" customHeight="1" x14ac:dyDescent="0.2">
      <c r="C76" s="22" t="s">
        <v>42</v>
      </c>
      <c r="D76" s="2">
        <f t="shared" ref="D76:F76" si="41">D77+D78</f>
        <v>19545.510634709997</v>
      </c>
      <c r="E76" s="8">
        <f t="shared" si="41"/>
        <v>19747.895126929998</v>
      </c>
      <c r="F76" s="8">
        <f t="shared" si="41"/>
        <v>19716.980711319997</v>
      </c>
      <c r="G76" s="2">
        <f t="shared" ref="G76:I76" si="42">G77+G78</f>
        <v>19929.196084959996</v>
      </c>
      <c r="H76" s="8">
        <f t="shared" si="42"/>
        <v>20037.442841309999</v>
      </c>
      <c r="I76" s="31">
        <f t="shared" si="42"/>
        <v>20107.11772319</v>
      </c>
      <c r="J76" s="2">
        <f t="shared" ref="J76" si="43">J77+J78</f>
        <v>20105.754957180001</v>
      </c>
      <c r="K76" s="49"/>
    </row>
    <row r="77" spans="1:11" ht="12.75" customHeight="1" x14ac:dyDescent="0.2">
      <c r="A77" s="13">
        <v>7</v>
      </c>
      <c r="B77" s="13">
        <v>54</v>
      </c>
      <c r="C77" s="29" t="s">
        <v>43</v>
      </c>
      <c r="D77" s="4">
        <f>18244543040.43/1000000</f>
        <v>18244.543040429999</v>
      </c>
      <c r="E77" s="9">
        <v>18416.485898319999</v>
      </c>
      <c r="F77" s="9">
        <v>18524.334486199998</v>
      </c>
      <c r="G77" s="4">
        <v>18624.068576939997</v>
      </c>
      <c r="H77" s="9">
        <v>18724.226388290001</v>
      </c>
      <c r="I77" s="36">
        <v>18785.169300019999</v>
      </c>
      <c r="J77" s="4">
        <v>18820.470044320002</v>
      </c>
      <c r="K77" s="14"/>
    </row>
    <row r="78" spans="1:11" ht="12.75" customHeight="1" x14ac:dyDescent="0.2">
      <c r="A78" s="13">
        <v>8</v>
      </c>
      <c r="B78" s="13">
        <v>55</v>
      </c>
      <c r="C78" s="21" t="s">
        <v>44</v>
      </c>
      <c r="D78" s="4">
        <f>1300967594.28/1000000</f>
        <v>1300.96759428</v>
      </c>
      <c r="E78" s="9">
        <v>1331.4092286099999</v>
      </c>
      <c r="F78" s="9">
        <v>1192.6462251199998</v>
      </c>
      <c r="G78" s="9">
        <v>1305.1275080200001</v>
      </c>
      <c r="H78" s="9">
        <v>1313.21645302</v>
      </c>
      <c r="I78" s="36">
        <v>1321.9484231700001</v>
      </c>
      <c r="J78" s="4">
        <v>1285.2849128599998</v>
      </c>
      <c r="K78" s="14"/>
    </row>
    <row r="79" spans="1:11" ht="14.1" customHeight="1" x14ac:dyDescent="0.2">
      <c r="C79" s="20" t="s">
        <v>40</v>
      </c>
      <c r="D79" s="2">
        <f t="shared" ref="D79:F79" si="44">D81+D80+D82</f>
        <v>14989.46548544</v>
      </c>
      <c r="E79" s="8">
        <f t="shared" si="44"/>
        <v>15138.5138952</v>
      </c>
      <c r="F79" s="8">
        <f t="shared" si="44"/>
        <v>15228.04473098</v>
      </c>
      <c r="G79" s="2">
        <f t="shared" ref="G79:I79" si="45">G81+G80+G82</f>
        <v>15426.356938130002</v>
      </c>
      <c r="H79" s="8">
        <f t="shared" si="45"/>
        <v>15585.643486470002</v>
      </c>
      <c r="I79" s="31">
        <f t="shared" si="45"/>
        <v>15723.294663189999</v>
      </c>
      <c r="J79" s="2">
        <f t="shared" ref="J79" si="46">J81+J80+J82</f>
        <v>15969.86842565</v>
      </c>
      <c r="K79" s="14"/>
    </row>
    <row r="80" spans="1:11" ht="12.75" customHeight="1" x14ac:dyDescent="0.2">
      <c r="A80" s="13">
        <v>11</v>
      </c>
      <c r="B80" s="13">
        <v>56</v>
      </c>
      <c r="C80" s="16" t="s">
        <v>45</v>
      </c>
      <c r="D80" s="4">
        <f>11895323263.63/1000000</f>
        <v>11895.32326363</v>
      </c>
      <c r="E80" s="9">
        <v>12003.5178736</v>
      </c>
      <c r="F80" s="9">
        <v>12066.89088508</v>
      </c>
      <c r="G80" s="4">
        <v>12213.356491160001</v>
      </c>
      <c r="H80" s="9">
        <v>12316.906240940001</v>
      </c>
      <c r="I80" s="36">
        <v>12407.339078520001</v>
      </c>
      <c r="J80" s="4">
        <v>12588.70962725</v>
      </c>
      <c r="K80" s="14"/>
    </row>
    <row r="81" spans="1:11" ht="12.75" customHeight="1" x14ac:dyDescent="0.2">
      <c r="A81" s="13">
        <v>11</v>
      </c>
      <c r="B81" s="13">
        <v>57</v>
      </c>
      <c r="C81" s="16" t="s">
        <v>46</v>
      </c>
      <c r="D81" s="4">
        <f>1903785266.13/1000000</f>
        <v>1903.7852661300001</v>
      </c>
      <c r="E81" s="9">
        <v>1944.8172563399999</v>
      </c>
      <c r="F81" s="9">
        <v>1973.9064557400002</v>
      </c>
      <c r="G81" s="4">
        <v>2028.7765216500002</v>
      </c>
      <c r="H81" s="9">
        <v>2082.82988316</v>
      </c>
      <c r="I81" s="36">
        <v>2129.4646210199999</v>
      </c>
      <c r="J81" s="4">
        <v>2179.14412803</v>
      </c>
      <c r="K81" s="14"/>
    </row>
    <row r="82" spans="1:11" ht="12.75" customHeight="1" x14ac:dyDescent="0.2">
      <c r="A82" s="13">
        <v>7</v>
      </c>
      <c r="B82" s="13">
        <v>58</v>
      </c>
      <c r="C82" s="18" t="s">
        <v>47</v>
      </c>
      <c r="D82" s="4">
        <f>1190356955.68/1000000</f>
        <v>1190.3569556800001</v>
      </c>
      <c r="E82" s="9">
        <v>1190.1787652600001</v>
      </c>
      <c r="F82" s="9">
        <v>1187.2473901600001</v>
      </c>
      <c r="G82" s="4">
        <v>1184.22392532</v>
      </c>
      <c r="H82" s="9">
        <v>1185.9073623699999</v>
      </c>
      <c r="I82" s="36">
        <v>1186.4909636499999</v>
      </c>
      <c r="J82" s="4">
        <v>1202.01467037</v>
      </c>
      <c r="K82" s="14"/>
    </row>
    <row r="83" spans="1:11" ht="14.1" customHeight="1" x14ac:dyDescent="0.2">
      <c r="A83" s="13">
        <v>10</v>
      </c>
      <c r="C83" s="20" t="s">
        <v>41</v>
      </c>
      <c r="D83" s="2">
        <f t="shared" ref="D83:F83" si="47">SUM(D84:D89)</f>
        <v>2164.0068658300002</v>
      </c>
      <c r="E83" s="8">
        <f t="shared" si="47"/>
        <v>2368.9199976700002</v>
      </c>
      <c r="F83" s="8">
        <f t="shared" si="47"/>
        <v>2346.1445270099998</v>
      </c>
      <c r="G83" s="2">
        <f t="shared" ref="G83:I83" si="48">SUM(G84:G89)</f>
        <v>2266.0592749100001</v>
      </c>
      <c r="H83" s="8">
        <f t="shared" si="48"/>
        <v>2325.5541976</v>
      </c>
      <c r="I83" s="31">
        <f t="shared" si="48"/>
        <v>2362.2328560800001</v>
      </c>
      <c r="J83" s="2">
        <f t="shared" ref="J83" si="49">SUM(J84:J89)</f>
        <v>2155.3395258099995</v>
      </c>
      <c r="K83" s="14"/>
    </row>
    <row r="84" spans="1:11" ht="12.75" customHeight="1" x14ac:dyDescent="0.2">
      <c r="B84" s="13">
        <v>59</v>
      </c>
      <c r="C84" s="16" t="s">
        <v>34</v>
      </c>
      <c r="D84" s="4">
        <f>120397568.01/1000000</f>
        <v>120.39756801</v>
      </c>
      <c r="E84" s="9">
        <v>119.62711508</v>
      </c>
      <c r="F84" s="9">
        <v>116.79154985</v>
      </c>
      <c r="G84" s="4">
        <v>124.9600985</v>
      </c>
      <c r="H84" s="9">
        <v>132.65016621999999</v>
      </c>
      <c r="I84" s="36">
        <v>241.71739753</v>
      </c>
      <c r="J84" s="4">
        <v>131.34253992000001</v>
      </c>
      <c r="K84" s="14"/>
    </row>
    <row r="85" spans="1:11" ht="12.75" customHeight="1" x14ac:dyDescent="0.2">
      <c r="B85" s="13">
        <v>60</v>
      </c>
      <c r="C85" s="16" t="s">
        <v>35</v>
      </c>
      <c r="D85" s="4">
        <f>95921337.92/1000000</f>
        <v>95.921337919999999</v>
      </c>
      <c r="E85" s="9">
        <v>108.13873947</v>
      </c>
      <c r="F85" s="9">
        <v>106.99443785999999</v>
      </c>
      <c r="G85" s="4">
        <v>102.38962367000001</v>
      </c>
      <c r="H85" s="9">
        <v>109.38696646</v>
      </c>
      <c r="I85" s="36">
        <v>132.17747711999999</v>
      </c>
      <c r="J85" s="4">
        <v>112.52849399999999</v>
      </c>
      <c r="K85" s="14"/>
    </row>
    <row r="86" spans="1:11" ht="12.75" customHeight="1" x14ac:dyDescent="0.2">
      <c r="B86" s="13">
        <v>61</v>
      </c>
      <c r="C86" s="16" t="s">
        <v>36</v>
      </c>
      <c r="D86" s="4">
        <f>473525266.66/1000000</f>
        <v>473.52526666</v>
      </c>
      <c r="E86" s="9">
        <v>727.10033311000007</v>
      </c>
      <c r="F86" s="9">
        <v>677.02009868999994</v>
      </c>
      <c r="G86" s="4">
        <v>725.62099778999993</v>
      </c>
      <c r="H86" s="9">
        <v>742.91718834000005</v>
      </c>
      <c r="I86" s="36">
        <v>726.52266780000002</v>
      </c>
      <c r="J86" s="4">
        <v>794.30714991999992</v>
      </c>
      <c r="K86" s="14"/>
    </row>
    <row r="87" spans="1:11" ht="12.75" customHeight="1" x14ac:dyDescent="0.2">
      <c r="B87" s="13">
        <v>62</v>
      </c>
      <c r="C87" s="16" t="s">
        <v>37</v>
      </c>
      <c r="D87" s="4">
        <f>369978513.15/1000000</f>
        <v>369.97851314999997</v>
      </c>
      <c r="E87" s="9">
        <v>262.79752897999998</v>
      </c>
      <c r="F87" s="9">
        <v>253.95975892999996</v>
      </c>
      <c r="G87" s="4">
        <v>256.40850124000002</v>
      </c>
      <c r="H87" s="9">
        <v>301.05718143000001</v>
      </c>
      <c r="I87" s="36">
        <v>361.16189018</v>
      </c>
      <c r="J87" s="4">
        <v>365.50387097999999</v>
      </c>
      <c r="K87" s="14"/>
    </row>
    <row r="88" spans="1:11" ht="12.75" customHeight="1" x14ac:dyDescent="0.2">
      <c r="B88" s="13">
        <v>63</v>
      </c>
      <c r="C88" s="16" t="s">
        <v>38</v>
      </c>
      <c r="D88" s="4">
        <f>1027825849.6/1000000</f>
        <v>1027.8258496000001</v>
      </c>
      <c r="E88" s="9">
        <v>1066.7612377600001</v>
      </c>
      <c r="F88" s="9">
        <v>1096.1318333899999</v>
      </c>
      <c r="G88" s="4">
        <v>963.30036651</v>
      </c>
      <c r="H88" s="9">
        <v>943.03588519000004</v>
      </c>
      <c r="I88" s="36">
        <v>795.11480458999995</v>
      </c>
      <c r="J88" s="4">
        <v>654.27692180999998</v>
      </c>
      <c r="K88" s="14"/>
    </row>
    <row r="89" spans="1:11" ht="12.75" customHeight="1" x14ac:dyDescent="0.2">
      <c r="B89" s="13">
        <v>64</v>
      </c>
      <c r="C89" s="16" t="s">
        <v>39</v>
      </c>
      <c r="D89" s="4">
        <f>76358330.49/1000000</f>
        <v>76.35833049</v>
      </c>
      <c r="E89" s="9">
        <v>84.495043269999996</v>
      </c>
      <c r="F89" s="9">
        <v>95.246848290000003</v>
      </c>
      <c r="G89" s="4">
        <v>93.379687200000006</v>
      </c>
      <c r="H89" s="9">
        <v>96.506809959999998</v>
      </c>
      <c r="I89" s="36">
        <v>105.53861886</v>
      </c>
      <c r="J89" s="4">
        <v>97.380549180000003</v>
      </c>
      <c r="K89" s="14"/>
    </row>
    <row r="90" spans="1:11" ht="13.5" customHeight="1" x14ac:dyDescent="0.2">
      <c r="A90" s="13">
        <v>9</v>
      </c>
      <c r="C90" s="20" t="s">
        <v>100</v>
      </c>
      <c r="D90" s="2">
        <f t="shared" ref="D90:F90" si="50">SUM(D91:D93)</f>
        <v>1485.6618888600001</v>
      </c>
      <c r="E90" s="8">
        <f t="shared" si="50"/>
        <v>2166.5820677500001</v>
      </c>
      <c r="F90" s="8">
        <f t="shared" si="50"/>
        <v>2368.00351249</v>
      </c>
      <c r="G90" s="2">
        <f t="shared" ref="G90:I90" si="51">SUM(G91:G93)</f>
        <v>1960.5770101599999</v>
      </c>
      <c r="H90" s="8">
        <f t="shared" si="51"/>
        <v>2256.4559334699998</v>
      </c>
      <c r="I90" s="31">
        <f t="shared" si="51"/>
        <v>2369.3713739999998</v>
      </c>
      <c r="J90" s="2">
        <f t="shared" ref="J90" si="52">SUM(J91:J93)</f>
        <v>1722.2541355999999</v>
      </c>
      <c r="K90" s="14"/>
    </row>
    <row r="91" spans="1:11" ht="12.75" customHeight="1" x14ac:dyDescent="0.2">
      <c r="B91" s="13">
        <v>65</v>
      </c>
      <c r="C91" s="16" t="s">
        <v>31</v>
      </c>
      <c r="D91" s="4">
        <f>1012603424.33/1000000</f>
        <v>1012.6034243300001</v>
      </c>
      <c r="E91" s="9">
        <f>1661134130.5/1000000</f>
        <v>1661.1341305000001</v>
      </c>
      <c r="F91" s="9">
        <v>2136.6844873300001</v>
      </c>
      <c r="G91" s="4">
        <v>1722.33331471</v>
      </c>
      <c r="H91" s="41">
        <f>2068891334.01/1000000</f>
        <v>2068.8913340099998</v>
      </c>
      <c r="I91" s="36">
        <v>2183.0655218299999</v>
      </c>
      <c r="J91" s="27">
        <v>1504.62357744</v>
      </c>
      <c r="K91" s="14"/>
    </row>
    <row r="92" spans="1:11" ht="12.75" customHeight="1" x14ac:dyDescent="0.2">
      <c r="B92" s="13">
        <v>66</v>
      </c>
      <c r="C92" s="16" t="s">
        <v>32</v>
      </c>
      <c r="D92" s="5">
        <f>5048360.19/1000000</f>
        <v>5.0483601900000004</v>
      </c>
      <c r="E92" s="11">
        <f>4660354.86/1000000</f>
        <v>4.66035486</v>
      </c>
      <c r="F92" s="9">
        <v>4.2678691500000001</v>
      </c>
      <c r="G92" s="4">
        <v>3.87034236</v>
      </c>
      <c r="H92" s="41">
        <v>3.4675094400000002</v>
      </c>
      <c r="I92" s="36">
        <v>3.0609088600000001</v>
      </c>
      <c r="J92" s="27">
        <v>2.6505102699999998</v>
      </c>
      <c r="K92" s="14"/>
    </row>
    <row r="93" spans="1:11" ht="12.75" customHeight="1" x14ac:dyDescent="0.2">
      <c r="B93" s="13">
        <v>67</v>
      </c>
      <c r="C93" s="16" t="s">
        <v>33</v>
      </c>
      <c r="D93" s="4">
        <f>468010104.34/1000000</f>
        <v>468.01010434</v>
      </c>
      <c r="E93" s="9">
        <f>500787582.39/1000000</f>
        <v>500.78758239000001</v>
      </c>
      <c r="F93" s="9">
        <v>227.05115601</v>
      </c>
      <c r="G93" s="4">
        <v>234.37335308999999</v>
      </c>
      <c r="H93" s="41">
        <f>184097090.02/1000000</f>
        <v>184.09709002000002</v>
      </c>
      <c r="I93" s="36">
        <v>183.24494331</v>
      </c>
      <c r="J93" s="27">
        <v>214.98004788999998</v>
      </c>
      <c r="K93" s="14"/>
    </row>
    <row r="94" spans="1:11" ht="14.1" customHeight="1" x14ac:dyDescent="0.2">
      <c r="A94" s="13">
        <v>11</v>
      </c>
      <c r="B94" s="13">
        <v>68</v>
      </c>
      <c r="C94" s="20" t="s">
        <v>30</v>
      </c>
      <c r="D94" s="4">
        <f>13937478/1000000</f>
        <v>13.937478</v>
      </c>
      <c r="E94" s="9">
        <f>18086369.24/1000000</f>
        <v>18.08636924</v>
      </c>
      <c r="F94" s="9">
        <v>16.256727000000001</v>
      </c>
      <c r="G94" s="4">
        <v>15.23742691</v>
      </c>
      <c r="H94" s="41">
        <v>13.912768380000001</v>
      </c>
      <c r="I94" s="36">
        <v>14.15798158</v>
      </c>
      <c r="J94" s="27">
        <v>14.21431276</v>
      </c>
      <c r="K94" s="14"/>
    </row>
    <row r="95" spans="1:11" ht="14.1" customHeight="1" x14ac:dyDescent="0.2">
      <c r="C95" s="23" t="s">
        <v>10</v>
      </c>
      <c r="D95" s="26">
        <f>22657910520.76/1000000</f>
        <v>22657.910520759997</v>
      </c>
      <c r="E95" s="25">
        <f>23465711160.77/1000000</f>
        <v>23465.711160769999</v>
      </c>
      <c r="F95" s="25">
        <v>24825.837519459998</v>
      </c>
      <c r="G95" s="26">
        <v>25899.606988529998</v>
      </c>
      <c r="H95" s="42">
        <v>26197.778587549998</v>
      </c>
      <c r="I95" s="42">
        <v>27322.416721500002</v>
      </c>
      <c r="J95" s="39">
        <v>27532.799398079998</v>
      </c>
      <c r="K95" s="14"/>
    </row>
    <row r="96" spans="1:11" ht="18.75" customHeight="1" x14ac:dyDescent="0.2">
      <c r="C96" s="3" t="s">
        <v>98</v>
      </c>
      <c r="D96" s="14"/>
      <c r="E96" s="14"/>
      <c r="F96" s="14"/>
      <c r="G96" s="14"/>
      <c r="H96" s="14"/>
      <c r="K96" s="14"/>
    </row>
    <row r="97" spans="3:11" ht="12.75" customHeight="1" x14ac:dyDescent="0.2">
      <c r="C97" s="3" t="s">
        <v>11</v>
      </c>
      <c r="D97" s="14"/>
      <c r="E97" s="14"/>
      <c r="F97" s="14"/>
      <c r="G97" s="14"/>
      <c r="H97" s="14"/>
      <c r="K97" s="14"/>
    </row>
    <row r="98" spans="3:11" ht="12.75" customHeight="1" x14ac:dyDescent="0.2">
      <c r="C98" s="3" t="s">
        <v>12</v>
      </c>
      <c r="D98" s="14"/>
      <c r="E98" s="14"/>
      <c r="F98" s="14"/>
      <c r="G98" s="14"/>
      <c r="H98" s="14"/>
      <c r="K98" s="14"/>
    </row>
    <row r="99" spans="3:11" ht="12.75" customHeight="1" x14ac:dyDescent="0.2">
      <c r="C99" s="6" t="s">
        <v>101</v>
      </c>
      <c r="D99" s="14"/>
      <c r="E99" s="14"/>
      <c r="F99" s="14"/>
      <c r="G99" s="14"/>
      <c r="H99" s="14"/>
      <c r="K99" s="14"/>
    </row>
    <row r="100" spans="3:11" ht="12.75" customHeight="1" x14ac:dyDescent="0.2">
      <c r="C100" s="6" t="s">
        <v>97</v>
      </c>
      <c r="D100" s="14"/>
      <c r="E100" s="14"/>
      <c r="F100" s="14"/>
      <c r="G100" s="14"/>
      <c r="H100" s="14"/>
    </row>
    <row r="101" spans="3:11" ht="12.75" customHeight="1" x14ac:dyDescent="0.2">
      <c r="C101" s="3" t="s">
        <v>13</v>
      </c>
      <c r="F101" s="14"/>
      <c r="G101" s="14"/>
      <c r="H101" s="14"/>
    </row>
    <row r="102" spans="3:11" ht="9.75" customHeight="1" x14ac:dyDescent="0.2">
      <c r="F102" s="14"/>
      <c r="G102" s="14"/>
      <c r="H102" s="14"/>
    </row>
    <row r="103" spans="3:11" x14ac:dyDescent="0.2">
      <c r="F103" s="14"/>
      <c r="G103" s="14"/>
      <c r="H103" s="14"/>
    </row>
    <row r="107" spans="3:11" ht="10.5" customHeight="1" x14ac:dyDescent="0.2"/>
  </sheetData>
  <mergeCells count="7">
    <mergeCell ref="C5:C7"/>
    <mergeCell ref="D6:G6"/>
    <mergeCell ref="C1:J1"/>
    <mergeCell ref="C2:J2"/>
    <mergeCell ref="C3:J3"/>
    <mergeCell ref="C4:J4"/>
    <mergeCell ref="D5:J5"/>
  </mergeCells>
  <printOptions horizontalCentered="1" verticalCentered="1"/>
  <pageMargins left="0.82677165354330717" right="0.82677165354330717" top="0.39370078740157483" bottom="0.39370078740157483" header="0" footer="0"/>
  <pageSetup paperSize="120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RODRIGUEZ</dc:creator>
  <cp:lastModifiedBy>Edwin Saucedo</cp:lastModifiedBy>
  <cp:lastPrinted>2025-12-17T14:47:28Z</cp:lastPrinted>
  <dcterms:created xsi:type="dcterms:W3CDTF">2021-02-10T19:19:37Z</dcterms:created>
  <dcterms:modified xsi:type="dcterms:W3CDTF">2025-12-22T13:27:56Z</dcterms:modified>
</cp:coreProperties>
</file>